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\Desktop\Dan's Files\Dividend Files\"/>
    </mc:Choice>
  </mc:AlternateContent>
  <bookViews>
    <workbookView xWindow="480" yWindow="2745" windowWidth="18720" windowHeight="5100" tabRatio="720" activeTab="3"/>
  </bookViews>
  <sheets>
    <sheet name="Port Wt" sheetId="13" r:id="rId1"/>
    <sheet name="Mthly" sheetId="17" r:id="rId2"/>
    <sheet name="Qtrly" sheetId="18" r:id="rId3"/>
    <sheet name="Yrly" sheetId="24" r:id="rId4"/>
    <sheet name="15" sheetId="12" state="hidden" r:id="rId5"/>
    <sheet name="Yrly-6.2017" sheetId="34" state="hidden" r:id="rId6"/>
    <sheet name="16" sheetId="15" r:id="rId7"/>
    <sheet name="17" sheetId="19" r:id="rId8"/>
    <sheet name="18" sheetId="20" r:id="rId9"/>
    <sheet name="19" sheetId="21" r:id="rId10"/>
    <sheet name="20" sheetId="22" r:id="rId11"/>
    <sheet name="21" sheetId="23" r:id="rId12"/>
    <sheet name="22" sheetId="25" r:id="rId13"/>
    <sheet name="23" sheetId="26" r:id="rId14"/>
    <sheet name="24" sheetId="27" r:id="rId15"/>
    <sheet name="25" sheetId="28" r:id="rId16"/>
    <sheet name="26" sheetId="29" r:id="rId17"/>
    <sheet name="27" sheetId="30" r:id="rId18"/>
    <sheet name="28" sheetId="31" r:id="rId19"/>
    <sheet name="29" sheetId="32" r:id="rId20"/>
    <sheet name="30" sheetId="33" r:id="rId21"/>
  </sheets>
  <calcPr calcId="171027"/>
</workbook>
</file>

<file path=xl/calcChain.xml><?xml version="1.0" encoding="utf-8"?>
<calcChain xmlns="http://schemas.openxmlformats.org/spreadsheetml/2006/main">
  <c r="C4" i="24" l="1"/>
  <c r="U9" i="19" l="1"/>
  <c r="D3" i="20" l="1"/>
  <c r="H4" i="13" l="1"/>
  <c r="I4" i="13" s="1"/>
  <c r="U12" i="19" l="1"/>
  <c r="W4" i="33"/>
  <c r="R4" i="33"/>
  <c r="Q4" i="33"/>
  <c r="V4" i="33" s="1"/>
  <c r="P4" i="33"/>
  <c r="T4" i="33" s="1"/>
  <c r="W4" i="32"/>
  <c r="R4" i="32"/>
  <c r="T4" i="32" s="1"/>
  <c r="P4" i="32"/>
  <c r="Q4" i="32" s="1"/>
  <c r="V4" i="32" s="1"/>
  <c r="W4" i="31"/>
  <c r="R4" i="31"/>
  <c r="T4" i="31" s="1"/>
  <c r="P4" i="31"/>
  <c r="Q4" i="31" s="1"/>
  <c r="V4" i="31" s="1"/>
  <c r="W4" i="30"/>
  <c r="R4" i="30"/>
  <c r="Q4" i="30"/>
  <c r="V4" i="30" s="1"/>
  <c r="P4" i="30"/>
  <c r="T4" i="30" s="1"/>
  <c r="W4" i="29"/>
  <c r="R4" i="29"/>
  <c r="T4" i="29" s="1"/>
  <c r="Q4" i="29"/>
  <c r="V4" i="29" s="1"/>
  <c r="P4" i="29"/>
  <c r="W4" i="28"/>
  <c r="R4" i="28"/>
  <c r="T4" i="28" s="1"/>
  <c r="Q4" i="28"/>
  <c r="V4" i="28" s="1"/>
  <c r="P4" i="28"/>
  <c r="W4" i="27"/>
  <c r="R4" i="27"/>
  <c r="Q4" i="27"/>
  <c r="V4" i="27" s="1"/>
  <c r="P4" i="27"/>
  <c r="T4" i="27" s="1"/>
  <c r="W4" i="26"/>
  <c r="R4" i="26"/>
  <c r="T4" i="26" s="1"/>
  <c r="Q4" i="26"/>
  <c r="V4" i="26" s="1"/>
  <c r="P4" i="26"/>
  <c r="W4" i="25"/>
  <c r="R4" i="25"/>
  <c r="P4" i="25"/>
  <c r="T4" i="25" s="1"/>
  <c r="W4" i="23"/>
  <c r="R4" i="23"/>
  <c r="Q4" i="23"/>
  <c r="V4" i="23" s="1"/>
  <c r="P4" i="23"/>
  <c r="T4" i="23" s="1"/>
  <c r="W4" i="22"/>
  <c r="R4" i="22"/>
  <c r="T4" i="22" s="1"/>
  <c r="P4" i="22"/>
  <c r="Q4" i="22" s="1"/>
  <c r="V4" i="22" s="1"/>
  <c r="W4" i="21"/>
  <c r="R4" i="21"/>
  <c r="T4" i="21" s="1"/>
  <c r="Q4" i="21"/>
  <c r="V4" i="21" s="1"/>
  <c r="P4" i="21"/>
  <c r="W4" i="20"/>
  <c r="R4" i="20"/>
  <c r="Q4" i="20"/>
  <c r="V4" i="20" s="1"/>
  <c r="P4" i="20"/>
  <c r="T4" i="20" s="1"/>
  <c r="L4" i="19"/>
  <c r="C4" i="20" s="1"/>
  <c r="F4" i="20" s="1"/>
  <c r="I4" i="20" s="1"/>
  <c r="L4" i="20" s="1"/>
  <c r="C4" i="21" s="1"/>
  <c r="F4" i="21" s="1"/>
  <c r="V4" i="19"/>
  <c r="W4" i="19"/>
  <c r="T4" i="19"/>
  <c r="Q4" i="19"/>
  <c r="R4" i="19"/>
  <c r="P4" i="19"/>
  <c r="B4" i="19"/>
  <c r="Q4" i="25" l="1"/>
  <c r="V4" i="25" s="1"/>
  <c r="I4" i="21"/>
  <c r="L4" i="21" s="1"/>
  <c r="C4" i="22" s="1"/>
  <c r="F4" i="22" s="1"/>
  <c r="I4" i="22" s="1"/>
  <c r="L4" i="22" s="1"/>
  <c r="C4" i="23" s="1"/>
  <c r="F4" i="23" s="1"/>
  <c r="I4" i="23" s="1"/>
  <c r="L4" i="23" s="1"/>
  <c r="C4" i="25" s="1"/>
  <c r="F4" i="25" s="1"/>
  <c r="I4" i="25" s="1"/>
  <c r="L4" i="25" s="1"/>
  <c r="C4" i="26" s="1"/>
  <c r="F4" i="26" s="1"/>
  <c r="I4" i="26" s="1"/>
  <c r="L4" i="26" s="1"/>
  <c r="C4" i="27" s="1"/>
  <c r="B4" i="20"/>
  <c r="F4" i="27" l="1"/>
  <c r="I4" i="27" s="1"/>
  <c r="L4" i="27" s="1"/>
  <c r="C4" i="28" s="1"/>
  <c r="F4" i="28" s="1"/>
  <c r="I4" i="28" s="1"/>
  <c r="L4" i="28" s="1"/>
  <c r="C4" i="29" s="1"/>
  <c r="F4" i="29" s="1"/>
  <c r="I4" i="29" s="1"/>
  <c r="L4" i="29" s="1"/>
  <c r="C4" i="30" s="1"/>
  <c r="B4" i="27"/>
  <c r="B4" i="25"/>
  <c r="B4" i="23"/>
  <c r="B4" i="22"/>
  <c r="B4" i="28"/>
  <c r="B4" i="26"/>
  <c r="B4" i="21"/>
  <c r="B4" i="29" l="1"/>
  <c r="F4" i="30"/>
  <c r="I4" i="30" s="1"/>
  <c r="L4" i="30" s="1"/>
  <c r="C4" i="31" s="1"/>
  <c r="C7" i="20"/>
  <c r="B4" i="30" l="1"/>
  <c r="F4" i="31"/>
  <c r="I4" i="31" s="1"/>
  <c r="L4" i="31" s="1"/>
  <c r="C4" i="32" s="1"/>
  <c r="U10" i="33"/>
  <c r="U14" i="33" s="1"/>
  <c r="S10" i="33"/>
  <c r="W8" i="33"/>
  <c r="V8" i="33"/>
  <c r="R8" i="33"/>
  <c r="T8" i="33" s="1"/>
  <c r="Q8" i="33"/>
  <c r="W7" i="33"/>
  <c r="R7" i="33"/>
  <c r="T7" i="33" s="1"/>
  <c r="Q7" i="33"/>
  <c r="V7" i="33" s="1"/>
  <c r="W6" i="33"/>
  <c r="R6" i="33"/>
  <c r="T6" i="33" s="1"/>
  <c r="Q6" i="33"/>
  <c r="V6" i="33" s="1"/>
  <c r="W5" i="33"/>
  <c r="R5" i="33"/>
  <c r="T5" i="33" s="1"/>
  <c r="Q5" i="33"/>
  <c r="V5" i="33" s="1"/>
  <c r="W3" i="33"/>
  <c r="R3" i="33"/>
  <c r="T3" i="33" s="1"/>
  <c r="Q3" i="33"/>
  <c r="U10" i="32"/>
  <c r="U14" i="32" s="1"/>
  <c r="S10" i="32"/>
  <c r="W8" i="32"/>
  <c r="R8" i="32"/>
  <c r="T8" i="32" s="1"/>
  <c r="Q8" i="32"/>
  <c r="V8" i="32" s="1"/>
  <c r="W7" i="32"/>
  <c r="R7" i="32"/>
  <c r="T7" i="32" s="1"/>
  <c r="Q7" i="32"/>
  <c r="V7" i="32" s="1"/>
  <c r="W6" i="32"/>
  <c r="R6" i="32"/>
  <c r="T6" i="32" s="1"/>
  <c r="Q6" i="32"/>
  <c r="V6" i="32" s="1"/>
  <c r="W5" i="32"/>
  <c r="R5" i="32"/>
  <c r="T5" i="32" s="1"/>
  <c r="Q5" i="32"/>
  <c r="V5" i="32" s="1"/>
  <c r="W3" i="32"/>
  <c r="T3" i="32"/>
  <c r="R3" i="32"/>
  <c r="Q3" i="32"/>
  <c r="V3" i="32" s="1"/>
  <c r="U10" i="31"/>
  <c r="U14" i="31" s="1"/>
  <c r="S10" i="31"/>
  <c r="W8" i="31"/>
  <c r="R8" i="31"/>
  <c r="T8" i="31" s="1"/>
  <c r="Q8" i="31"/>
  <c r="V8" i="31" s="1"/>
  <c r="W7" i="31"/>
  <c r="R7" i="31"/>
  <c r="T7" i="31" s="1"/>
  <c r="Q7" i="31"/>
  <c r="V7" i="31" s="1"/>
  <c r="W6" i="31"/>
  <c r="R6" i="31"/>
  <c r="T6" i="31" s="1"/>
  <c r="Q6" i="31"/>
  <c r="V6" i="31" s="1"/>
  <c r="W5" i="31"/>
  <c r="R5" i="31"/>
  <c r="T5" i="31" s="1"/>
  <c r="Q5" i="31"/>
  <c r="V5" i="31" s="1"/>
  <c r="W3" i="31"/>
  <c r="T3" i="31"/>
  <c r="R3" i="31"/>
  <c r="Q3" i="31"/>
  <c r="V3" i="31" s="1"/>
  <c r="B4" i="31" l="1"/>
  <c r="F4" i="32"/>
  <c r="I4" i="32" s="1"/>
  <c r="L4" i="32" s="1"/>
  <c r="C4" i="33" s="1"/>
  <c r="Q10" i="33"/>
  <c r="T10" i="33" s="1"/>
  <c r="V3" i="33"/>
  <c r="W10" i="33"/>
  <c r="W10" i="32"/>
  <c r="Q10" i="32"/>
  <c r="W10" i="31"/>
  <c r="Q10" i="31"/>
  <c r="T10" i="31" s="1"/>
  <c r="U10" i="30"/>
  <c r="U14" i="30" s="1"/>
  <c r="S10" i="30"/>
  <c r="W8" i="30"/>
  <c r="V8" i="30"/>
  <c r="R8" i="30"/>
  <c r="T8" i="30" s="1"/>
  <c r="Q8" i="30"/>
  <c r="W7" i="30"/>
  <c r="V7" i="30"/>
  <c r="R7" i="30"/>
  <c r="T7" i="30" s="1"/>
  <c r="Q7" i="30"/>
  <c r="W6" i="30"/>
  <c r="R6" i="30"/>
  <c r="T6" i="30" s="1"/>
  <c r="Q6" i="30"/>
  <c r="V6" i="30" s="1"/>
  <c r="W5" i="30"/>
  <c r="R5" i="30"/>
  <c r="T5" i="30" s="1"/>
  <c r="Q5" i="30"/>
  <c r="V5" i="30" s="1"/>
  <c r="W3" i="30"/>
  <c r="R3" i="30"/>
  <c r="T3" i="30" s="1"/>
  <c r="Q3" i="30"/>
  <c r="V3" i="30" s="1"/>
  <c r="U10" i="29"/>
  <c r="U14" i="29" s="1"/>
  <c r="S10" i="29"/>
  <c r="W8" i="29"/>
  <c r="R8" i="29"/>
  <c r="T8" i="29" s="1"/>
  <c r="Q8" i="29"/>
  <c r="V8" i="29" s="1"/>
  <c r="W7" i="29"/>
  <c r="R7" i="29"/>
  <c r="T7" i="29" s="1"/>
  <c r="Q7" i="29"/>
  <c r="V7" i="29" s="1"/>
  <c r="W6" i="29"/>
  <c r="R6" i="29"/>
  <c r="T6" i="29" s="1"/>
  <c r="Q6" i="29"/>
  <c r="V6" i="29" s="1"/>
  <c r="W5" i="29"/>
  <c r="R5" i="29"/>
  <c r="T5" i="29" s="1"/>
  <c r="Q5" i="29"/>
  <c r="V5" i="29" s="1"/>
  <c r="W3" i="29"/>
  <c r="V3" i="29"/>
  <c r="R3" i="29"/>
  <c r="T3" i="29" s="1"/>
  <c r="Q3" i="29"/>
  <c r="U10" i="28"/>
  <c r="U14" i="28" s="1"/>
  <c r="S10" i="28"/>
  <c r="W8" i="28"/>
  <c r="R8" i="28"/>
  <c r="T8" i="28" s="1"/>
  <c r="Q8" i="28"/>
  <c r="V8" i="28" s="1"/>
  <c r="W7" i="28"/>
  <c r="R7" i="28"/>
  <c r="T7" i="28" s="1"/>
  <c r="Q7" i="28"/>
  <c r="V7" i="28" s="1"/>
  <c r="W6" i="28"/>
  <c r="R6" i="28"/>
  <c r="T6" i="28" s="1"/>
  <c r="Q6" i="28"/>
  <c r="V6" i="28" s="1"/>
  <c r="W5" i="28"/>
  <c r="R5" i="28"/>
  <c r="T5" i="28" s="1"/>
  <c r="Q5" i="28"/>
  <c r="V5" i="28" s="1"/>
  <c r="W3" i="28"/>
  <c r="R3" i="28"/>
  <c r="T3" i="28" s="1"/>
  <c r="Q3" i="28"/>
  <c r="U10" i="27"/>
  <c r="U14" i="27" s="1"/>
  <c r="S10" i="27"/>
  <c r="W8" i="27"/>
  <c r="R8" i="27"/>
  <c r="T8" i="27" s="1"/>
  <c r="Q8" i="27"/>
  <c r="V8" i="27" s="1"/>
  <c r="W7" i="27"/>
  <c r="R7" i="27"/>
  <c r="T7" i="27" s="1"/>
  <c r="Q7" i="27"/>
  <c r="V7" i="27" s="1"/>
  <c r="W6" i="27"/>
  <c r="R6" i="27"/>
  <c r="T6" i="27" s="1"/>
  <c r="Q6" i="27"/>
  <c r="V6" i="27" s="1"/>
  <c r="W5" i="27"/>
  <c r="R5" i="27"/>
  <c r="T5" i="27" s="1"/>
  <c r="Q5" i="27"/>
  <c r="V5" i="27" s="1"/>
  <c r="W3" i="27"/>
  <c r="R3" i="27"/>
  <c r="T3" i="27" s="1"/>
  <c r="Q3" i="27"/>
  <c r="V3" i="27" s="1"/>
  <c r="B4" i="32" l="1"/>
  <c r="F4" i="33"/>
  <c r="I4" i="33" s="1"/>
  <c r="L4" i="33" s="1"/>
  <c r="Q10" i="28"/>
  <c r="T10" i="28" s="1"/>
  <c r="V3" i="28"/>
  <c r="T10" i="32"/>
  <c r="W10" i="30"/>
  <c r="Q10" i="30"/>
  <c r="T10" i="30" s="1"/>
  <c r="W10" i="29"/>
  <c r="Q10" i="29"/>
  <c r="T10" i="29" s="1"/>
  <c r="W10" i="28"/>
  <c r="W10" i="27"/>
  <c r="Q10" i="27"/>
  <c r="T10" i="27" s="1"/>
  <c r="B4" i="33" l="1"/>
  <c r="F10" i="19"/>
  <c r="Q5" i="19" l="1"/>
  <c r="R5" i="19"/>
  <c r="U10" i="26" l="1"/>
  <c r="U14" i="26" s="1"/>
  <c r="S10" i="26"/>
  <c r="W8" i="26"/>
  <c r="V8" i="26"/>
  <c r="R8" i="26"/>
  <c r="T8" i="26" s="1"/>
  <c r="Q8" i="26"/>
  <c r="W7" i="26"/>
  <c r="R7" i="26"/>
  <c r="T7" i="26" s="1"/>
  <c r="Q7" i="26"/>
  <c r="V7" i="26" s="1"/>
  <c r="W6" i="26"/>
  <c r="R6" i="26"/>
  <c r="T6" i="26" s="1"/>
  <c r="Q6" i="26"/>
  <c r="V6" i="26" s="1"/>
  <c r="W5" i="26"/>
  <c r="R5" i="26"/>
  <c r="T5" i="26" s="1"/>
  <c r="Q5" i="26"/>
  <c r="V5" i="26" s="1"/>
  <c r="W3" i="26"/>
  <c r="R3" i="26"/>
  <c r="T3" i="26" s="1"/>
  <c r="Q3" i="26"/>
  <c r="U10" i="25"/>
  <c r="U13" i="25" s="1"/>
  <c r="S10" i="25"/>
  <c r="W8" i="25"/>
  <c r="R8" i="25"/>
  <c r="T8" i="25" s="1"/>
  <c r="Q8" i="25"/>
  <c r="V8" i="25" s="1"/>
  <c r="W7" i="25"/>
  <c r="R7" i="25"/>
  <c r="T7" i="25" s="1"/>
  <c r="Q7" i="25"/>
  <c r="V7" i="25" s="1"/>
  <c r="W6" i="25"/>
  <c r="R6" i="25"/>
  <c r="T6" i="25" s="1"/>
  <c r="Q6" i="25"/>
  <c r="V6" i="25" s="1"/>
  <c r="W5" i="25"/>
  <c r="R5" i="25"/>
  <c r="T5" i="25" s="1"/>
  <c r="Q5" i="25"/>
  <c r="V5" i="25" s="1"/>
  <c r="W3" i="25"/>
  <c r="R3" i="25"/>
  <c r="T3" i="25" s="1"/>
  <c r="Q3" i="25"/>
  <c r="V3" i="25" s="1"/>
  <c r="Q10" i="26" l="1"/>
  <c r="T10" i="26" s="1"/>
  <c r="W10" i="26"/>
  <c r="V3" i="26"/>
  <c r="W10" i="25"/>
  <c r="Q10" i="25"/>
  <c r="B3" i="24"/>
  <c r="B2" i="24"/>
  <c r="T10" i="25" l="1"/>
  <c r="U10" i="23"/>
  <c r="U13" i="23" s="1"/>
  <c r="S10" i="23"/>
  <c r="W8" i="23"/>
  <c r="R8" i="23"/>
  <c r="T8" i="23" s="1"/>
  <c r="Q8" i="23"/>
  <c r="V8" i="23" s="1"/>
  <c r="W7" i="23"/>
  <c r="V7" i="23"/>
  <c r="R7" i="23"/>
  <c r="T7" i="23" s="1"/>
  <c r="Q7" i="23"/>
  <c r="W6" i="23"/>
  <c r="R6" i="23"/>
  <c r="T6" i="23" s="1"/>
  <c r="Q6" i="23"/>
  <c r="V6" i="23" s="1"/>
  <c r="W5" i="23"/>
  <c r="R5" i="23"/>
  <c r="T5" i="23" s="1"/>
  <c r="Q5" i="23"/>
  <c r="V5" i="23" s="1"/>
  <c r="W3" i="23"/>
  <c r="R3" i="23"/>
  <c r="T3" i="23" s="1"/>
  <c r="Q3" i="23"/>
  <c r="W10" i="23" l="1"/>
  <c r="Q10" i="23"/>
  <c r="V3" i="23"/>
  <c r="H2" i="13"/>
  <c r="I2" i="13" s="1"/>
  <c r="T10" i="23" l="1"/>
  <c r="W6" i="22"/>
  <c r="R6" i="22"/>
  <c r="T6" i="22" s="1"/>
  <c r="Q6" i="22"/>
  <c r="V6" i="22" s="1"/>
  <c r="W6" i="21"/>
  <c r="R6" i="21"/>
  <c r="T6" i="21" s="1"/>
  <c r="Q6" i="21"/>
  <c r="V6" i="21" s="1"/>
  <c r="W6" i="20"/>
  <c r="R6" i="20"/>
  <c r="T6" i="20" s="1"/>
  <c r="Q6" i="20"/>
  <c r="V6" i="20" s="1"/>
  <c r="U12" i="15"/>
  <c r="E6" i="19"/>
  <c r="N6" i="19" s="1"/>
  <c r="E6" i="20" s="1"/>
  <c r="W6" i="19"/>
  <c r="R6" i="19"/>
  <c r="T6" i="19" s="1"/>
  <c r="Q6" i="19"/>
  <c r="V6" i="19" s="1"/>
  <c r="B6" i="15"/>
  <c r="R6" i="15"/>
  <c r="T6" i="15" s="1"/>
  <c r="Q6" i="15"/>
  <c r="V6" i="15" s="1"/>
  <c r="W6" i="15"/>
  <c r="B6" i="19" l="1"/>
  <c r="H6" i="20"/>
  <c r="S3" i="15"/>
  <c r="K6" i="20" l="1"/>
  <c r="N6" i="20" s="1"/>
  <c r="E6" i="21" s="1"/>
  <c r="U10" i="22"/>
  <c r="U13" i="22" s="1"/>
  <c r="S10" i="22"/>
  <c r="W8" i="22"/>
  <c r="R8" i="22"/>
  <c r="T8" i="22" s="1"/>
  <c r="Q8" i="22"/>
  <c r="V8" i="22" s="1"/>
  <c r="W7" i="22"/>
  <c r="R7" i="22"/>
  <c r="T7" i="22" s="1"/>
  <c r="Q7" i="22"/>
  <c r="V7" i="22" s="1"/>
  <c r="W5" i="22"/>
  <c r="R5" i="22"/>
  <c r="T5" i="22" s="1"/>
  <c r="Q5" i="22"/>
  <c r="V5" i="22" s="1"/>
  <c r="W3" i="22"/>
  <c r="R3" i="22"/>
  <c r="T3" i="22" s="1"/>
  <c r="Q3" i="22"/>
  <c r="V3" i="22" s="1"/>
  <c r="U10" i="21"/>
  <c r="U13" i="21" s="1"/>
  <c r="S10" i="21"/>
  <c r="W8" i="21"/>
  <c r="R8" i="21"/>
  <c r="T8" i="21" s="1"/>
  <c r="Q8" i="21"/>
  <c r="V8" i="21" s="1"/>
  <c r="W7" i="21"/>
  <c r="R7" i="21"/>
  <c r="T7" i="21" s="1"/>
  <c r="Q7" i="21"/>
  <c r="V7" i="21" s="1"/>
  <c r="W5" i="21"/>
  <c r="R5" i="21"/>
  <c r="T5" i="21" s="1"/>
  <c r="Q5" i="21"/>
  <c r="V5" i="21" s="1"/>
  <c r="W3" i="21"/>
  <c r="R3" i="21"/>
  <c r="T3" i="21" s="1"/>
  <c r="Q3" i="21"/>
  <c r="V3" i="21" s="1"/>
  <c r="U10" i="20"/>
  <c r="S10" i="20"/>
  <c r="W8" i="20"/>
  <c r="R8" i="20"/>
  <c r="T8" i="20" s="1"/>
  <c r="Q8" i="20"/>
  <c r="V8" i="20" s="1"/>
  <c r="W7" i="20"/>
  <c r="R7" i="20"/>
  <c r="T7" i="20" s="1"/>
  <c r="Q7" i="20"/>
  <c r="V7" i="20" s="1"/>
  <c r="W5" i="20"/>
  <c r="R5" i="20"/>
  <c r="T5" i="20" s="1"/>
  <c r="Q5" i="20"/>
  <c r="V5" i="20" s="1"/>
  <c r="W3" i="20"/>
  <c r="R3" i="20"/>
  <c r="T3" i="20" s="1"/>
  <c r="Q3" i="20"/>
  <c r="U10" i="19"/>
  <c r="S10" i="19"/>
  <c r="W8" i="19"/>
  <c r="R8" i="19"/>
  <c r="T8" i="19" s="1"/>
  <c r="Q8" i="19"/>
  <c r="V8" i="19" s="1"/>
  <c r="W7" i="19"/>
  <c r="R7" i="19"/>
  <c r="T7" i="19" s="1"/>
  <c r="Q7" i="19"/>
  <c r="V7" i="19" s="1"/>
  <c r="W5" i="19"/>
  <c r="T5" i="19"/>
  <c r="V5" i="19"/>
  <c r="W3" i="19"/>
  <c r="R3" i="19"/>
  <c r="T3" i="19" s="1"/>
  <c r="Q3" i="19"/>
  <c r="V3" i="19" s="1"/>
  <c r="K8" i="15"/>
  <c r="K8" i="19" s="1"/>
  <c r="L7" i="15"/>
  <c r="K4" i="15"/>
  <c r="N4" i="15" s="1"/>
  <c r="U13" i="19" l="1"/>
  <c r="U13" i="20"/>
  <c r="W10" i="20"/>
  <c r="Q10" i="20"/>
  <c r="H6" i="21"/>
  <c r="B6" i="20"/>
  <c r="V3" i="20"/>
  <c r="W10" i="22"/>
  <c r="W10" i="19"/>
  <c r="W10" i="21"/>
  <c r="D10" i="19"/>
  <c r="L7" i="19"/>
  <c r="C10" i="19"/>
  <c r="Q10" i="22"/>
  <c r="Q10" i="21"/>
  <c r="E10" i="19"/>
  <c r="Q10" i="19"/>
  <c r="N8" i="19"/>
  <c r="H10" i="19"/>
  <c r="I5" i="19"/>
  <c r="B14" i="17"/>
  <c r="T10" i="20" l="1"/>
  <c r="K6" i="21"/>
  <c r="D13" i="19"/>
  <c r="G10" i="19"/>
  <c r="H13" i="19"/>
  <c r="B8" i="19"/>
  <c r="E8" i="20"/>
  <c r="E13" i="19"/>
  <c r="C13" i="19"/>
  <c r="B3" i="15"/>
  <c r="B7" i="19"/>
  <c r="T10" i="22"/>
  <c r="T10" i="21"/>
  <c r="T10" i="19"/>
  <c r="L5" i="19"/>
  <c r="I10" i="19"/>
  <c r="K10" i="19"/>
  <c r="K12" i="20" s="1"/>
  <c r="U10" i="15"/>
  <c r="S10" i="15"/>
  <c r="W3" i="15"/>
  <c r="R3" i="15"/>
  <c r="T3" i="15" s="1"/>
  <c r="Q3" i="15"/>
  <c r="V3" i="15" s="1"/>
  <c r="D10" i="15"/>
  <c r="E10" i="15"/>
  <c r="F10" i="15"/>
  <c r="G10" i="15"/>
  <c r="H10" i="15"/>
  <c r="I10" i="15"/>
  <c r="J10" i="15"/>
  <c r="K10" i="15"/>
  <c r="L10" i="15"/>
  <c r="M10" i="15"/>
  <c r="N10" i="15"/>
  <c r="C10" i="15"/>
  <c r="B4" i="15"/>
  <c r="Q4" i="15"/>
  <c r="V4" i="15" s="1"/>
  <c r="R4" i="15"/>
  <c r="T4" i="15" s="1"/>
  <c r="W4" i="15"/>
  <c r="H3" i="13"/>
  <c r="I3" i="13" s="1"/>
  <c r="H8" i="20" l="1"/>
  <c r="K8" i="20" s="1"/>
  <c r="N6" i="21"/>
  <c r="E6" i="22" s="1"/>
  <c r="M3" i="19"/>
  <c r="B3" i="19" s="1"/>
  <c r="I13" i="19"/>
  <c r="D8" i="17"/>
  <c r="C10" i="17"/>
  <c r="L10" i="19"/>
  <c r="L12" i="20" s="1"/>
  <c r="C5" i="20"/>
  <c r="F5" i="20" s="1"/>
  <c r="I5" i="20" s="1"/>
  <c r="L5" i="20" s="1"/>
  <c r="C5" i="21" s="1"/>
  <c r="F5" i="21" s="1"/>
  <c r="I5" i="21" s="1"/>
  <c r="L5" i="21" s="1"/>
  <c r="C5" i="22" s="1"/>
  <c r="F5" i="22" s="1"/>
  <c r="I5" i="22" s="1"/>
  <c r="L5" i="22" s="1"/>
  <c r="C5" i="23" s="1"/>
  <c r="K13" i="19"/>
  <c r="D10" i="17"/>
  <c r="E10" i="20"/>
  <c r="E12" i="21" s="1"/>
  <c r="F13" i="19"/>
  <c r="G13" i="19"/>
  <c r="F7" i="20"/>
  <c r="B5" i="19"/>
  <c r="J10" i="19"/>
  <c r="J12" i="20" s="1"/>
  <c r="N10" i="19"/>
  <c r="N12" i="20" s="1"/>
  <c r="W7" i="15"/>
  <c r="Q7" i="15"/>
  <c r="R7" i="15"/>
  <c r="T7" i="15" s="1"/>
  <c r="B7" i="15"/>
  <c r="H5" i="13"/>
  <c r="I5" i="13" s="1"/>
  <c r="N8" i="20" l="1"/>
  <c r="E8" i="21" s="1"/>
  <c r="H8" i="21" s="1"/>
  <c r="K8" i="21" s="1"/>
  <c r="N8" i="21" s="1"/>
  <c r="E8" i="22" s="1"/>
  <c r="H8" i="22" s="1"/>
  <c r="K8" i="22" s="1"/>
  <c r="N8" i="22" s="1"/>
  <c r="E8" i="23" s="1"/>
  <c r="B8" i="20"/>
  <c r="D4" i="18"/>
  <c r="F5" i="23"/>
  <c r="H6" i="22"/>
  <c r="E13" i="20"/>
  <c r="E4" i="17"/>
  <c r="B6" i="21"/>
  <c r="C10" i="20"/>
  <c r="C12" i="21" s="1"/>
  <c r="B12" i="19"/>
  <c r="B8" i="21"/>
  <c r="N13" i="19"/>
  <c r="D13" i="17"/>
  <c r="L13" i="19"/>
  <c r="D11" i="17"/>
  <c r="H10" i="20"/>
  <c r="H12" i="21" s="1"/>
  <c r="B5" i="21"/>
  <c r="B5" i="22"/>
  <c r="J13" i="19"/>
  <c r="D9" i="17"/>
  <c r="V7" i="15"/>
  <c r="I7" i="20"/>
  <c r="F10" i="20"/>
  <c r="F12" i="21" s="1"/>
  <c r="M10" i="19"/>
  <c r="B5" i="20"/>
  <c r="B10" i="19"/>
  <c r="W5" i="15"/>
  <c r="R5" i="15"/>
  <c r="T5" i="15" s="1"/>
  <c r="Q5" i="15"/>
  <c r="V5" i="15" s="1"/>
  <c r="B5" i="15"/>
  <c r="B4" i="12"/>
  <c r="W4" i="12"/>
  <c r="R4" i="12"/>
  <c r="T4" i="12" s="1"/>
  <c r="Q4" i="12"/>
  <c r="V4" i="12" s="1"/>
  <c r="B4" i="24" l="1"/>
  <c r="E4" i="24" s="1"/>
  <c r="F4" i="24" s="1"/>
  <c r="V10" i="19"/>
  <c r="M12" i="20"/>
  <c r="B12" i="20" s="1"/>
  <c r="H8" i="23"/>
  <c r="K8" i="23" s="1"/>
  <c r="N8" i="23" s="1"/>
  <c r="E8" i="25" s="1"/>
  <c r="I5" i="23"/>
  <c r="C13" i="20"/>
  <c r="E2" i="17"/>
  <c r="F13" i="20"/>
  <c r="E5" i="17"/>
  <c r="H13" i="20"/>
  <c r="E7" i="17"/>
  <c r="K6" i="22"/>
  <c r="N6" i="22" s="1"/>
  <c r="E6" i="23" s="1"/>
  <c r="B13" i="19"/>
  <c r="B8" i="22"/>
  <c r="K10" i="20"/>
  <c r="K12" i="21" s="1"/>
  <c r="M13" i="19"/>
  <c r="D12" i="17"/>
  <c r="D5" i="18" s="1"/>
  <c r="D6" i="18" s="1"/>
  <c r="L7" i="20"/>
  <c r="I10" i="20"/>
  <c r="I12" i="21" s="1"/>
  <c r="D10" i="20"/>
  <c r="D12" i="21" s="1"/>
  <c r="G3" i="20"/>
  <c r="C5" i="24" l="1"/>
  <c r="B8" i="23"/>
  <c r="H6" i="23"/>
  <c r="E10" i="23"/>
  <c r="E12" i="25" s="1"/>
  <c r="H8" i="25"/>
  <c r="K8" i="25" s="1"/>
  <c r="N8" i="25" s="1"/>
  <c r="E8" i="26" s="1"/>
  <c r="L5" i="23"/>
  <c r="B5" i="23" s="1"/>
  <c r="D13" i="20"/>
  <c r="E3" i="17"/>
  <c r="E2" i="18" s="1"/>
  <c r="B6" i="22"/>
  <c r="I13" i="20"/>
  <c r="E8" i="17"/>
  <c r="K13" i="20"/>
  <c r="E10" i="17"/>
  <c r="N10" i="20"/>
  <c r="N12" i="21" s="1"/>
  <c r="C7" i="21"/>
  <c r="B7" i="20"/>
  <c r="L10" i="20"/>
  <c r="L12" i="21" s="1"/>
  <c r="G10" i="20"/>
  <c r="G12" i="21" s="1"/>
  <c r="J3" i="20"/>
  <c r="H6" i="13"/>
  <c r="I6" i="13" s="1"/>
  <c r="W8" i="15"/>
  <c r="W10" i="15" s="1"/>
  <c r="R8" i="15"/>
  <c r="T8" i="15" s="1"/>
  <c r="Q8" i="15"/>
  <c r="B8" i="15"/>
  <c r="B10" i="15" s="1"/>
  <c r="D7" i="12"/>
  <c r="E7" i="12"/>
  <c r="F7" i="12"/>
  <c r="G7" i="12"/>
  <c r="H7" i="12"/>
  <c r="I7" i="12"/>
  <c r="J7" i="12"/>
  <c r="K7" i="12"/>
  <c r="L7" i="12"/>
  <c r="M7" i="12"/>
  <c r="N7" i="12"/>
  <c r="C7" i="12"/>
  <c r="B5" i="12"/>
  <c r="Q5" i="12"/>
  <c r="V5" i="12" s="1"/>
  <c r="R5" i="12"/>
  <c r="T5" i="12" s="1"/>
  <c r="W5" i="12"/>
  <c r="B8" i="25" l="1"/>
  <c r="H4" i="17"/>
  <c r="H8" i="26"/>
  <c r="K8" i="26" s="1"/>
  <c r="N8" i="26" s="1"/>
  <c r="E8" i="27" s="1"/>
  <c r="K6" i="23"/>
  <c r="H10" i="23"/>
  <c r="H12" i="25" s="1"/>
  <c r="C5" i="25"/>
  <c r="G13" i="20"/>
  <c r="E6" i="17"/>
  <c r="E3" i="18" s="1"/>
  <c r="N13" i="20"/>
  <c r="E13" i="17"/>
  <c r="L13" i="20"/>
  <c r="E11" i="17"/>
  <c r="V8" i="15"/>
  <c r="Q10" i="15"/>
  <c r="E10" i="21"/>
  <c r="C10" i="21"/>
  <c r="F7" i="21"/>
  <c r="J10" i="20"/>
  <c r="J12" i="21" s="1"/>
  <c r="M3" i="20"/>
  <c r="B3" i="20" s="1"/>
  <c r="B10" i="20" s="1"/>
  <c r="V10" i="20" s="1"/>
  <c r="B12" i="15"/>
  <c r="H8" i="27" l="1"/>
  <c r="K8" i="27" s="1"/>
  <c r="N8" i="27" s="1"/>
  <c r="E8" i="28" s="1"/>
  <c r="B13" i="20"/>
  <c r="B5" i="24"/>
  <c r="B8" i="26"/>
  <c r="H7" i="17"/>
  <c r="K10" i="23"/>
  <c r="K12" i="25" s="1"/>
  <c r="N6" i="23"/>
  <c r="E13" i="21"/>
  <c r="F4" i="17"/>
  <c r="E12" i="22"/>
  <c r="C13" i="21"/>
  <c r="F2" i="17"/>
  <c r="C12" i="22"/>
  <c r="F5" i="25"/>
  <c r="J13" i="20"/>
  <c r="E9" i="17"/>
  <c r="E4" i="18" s="1"/>
  <c r="H10" i="21"/>
  <c r="I7" i="21"/>
  <c r="F10" i="21"/>
  <c r="D3" i="21"/>
  <c r="M10" i="20"/>
  <c r="M12" i="21" s="1"/>
  <c r="B12" i="21" s="1"/>
  <c r="C14" i="17"/>
  <c r="C16" i="17" s="1"/>
  <c r="D14" i="17"/>
  <c r="D16" i="17" s="1"/>
  <c r="C6" i="18"/>
  <c r="D7" i="18" s="1"/>
  <c r="B6" i="18"/>
  <c r="B16" i="17"/>
  <c r="C6" i="24" l="1"/>
  <c r="E5" i="24"/>
  <c r="F5" i="24" s="1"/>
  <c r="B8" i="27"/>
  <c r="H8" i="28"/>
  <c r="K8" i="28" s="1"/>
  <c r="N8" i="28" s="1"/>
  <c r="E8" i="29" s="1"/>
  <c r="H10" i="17"/>
  <c r="H13" i="21"/>
  <c r="F7" i="17"/>
  <c r="H12" i="22"/>
  <c r="E6" i="25"/>
  <c r="N10" i="23"/>
  <c r="N12" i="25" s="1"/>
  <c r="B6" i="23"/>
  <c r="F13" i="21"/>
  <c r="F5" i="17"/>
  <c r="F12" i="22"/>
  <c r="I5" i="25"/>
  <c r="M13" i="20"/>
  <c r="E12" i="17"/>
  <c r="K10" i="21"/>
  <c r="D17" i="17"/>
  <c r="L7" i="21"/>
  <c r="I10" i="21"/>
  <c r="D10" i="21"/>
  <c r="G3" i="21"/>
  <c r="C7" i="18"/>
  <c r="C17" i="17"/>
  <c r="U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8" i="28" l="1"/>
  <c r="H8" i="29"/>
  <c r="K8" i="29" s="1"/>
  <c r="N8" i="29" s="1"/>
  <c r="E8" i="30" s="1"/>
  <c r="D13" i="21"/>
  <c r="F3" i="17"/>
  <c r="F2" i="18" s="1"/>
  <c r="D12" i="22"/>
  <c r="K13" i="21"/>
  <c r="F10" i="17"/>
  <c r="K12" i="22"/>
  <c r="H13" i="17"/>
  <c r="H6" i="25"/>
  <c r="E10" i="25"/>
  <c r="E12" i="26" s="1"/>
  <c r="I13" i="21"/>
  <c r="F8" i="17"/>
  <c r="I12" i="22"/>
  <c r="L5" i="25"/>
  <c r="E5" i="18"/>
  <c r="E6" i="18" s="1"/>
  <c r="E14" i="17"/>
  <c r="E16" i="17" s="1"/>
  <c r="N10" i="21"/>
  <c r="C7" i="22"/>
  <c r="L10" i="21"/>
  <c r="B7" i="21"/>
  <c r="G10" i="21"/>
  <c r="J3" i="21"/>
  <c r="B13" i="15"/>
  <c r="T10" i="15"/>
  <c r="U7" i="12"/>
  <c r="U10" i="12" s="1"/>
  <c r="S7" i="12"/>
  <c r="W3" i="12"/>
  <c r="W7" i="12" s="1"/>
  <c r="R3" i="12"/>
  <c r="T3" i="12" s="1"/>
  <c r="Q3" i="12"/>
  <c r="Q7" i="12" s="1"/>
  <c r="B5" i="25" l="1"/>
  <c r="C5" i="33"/>
  <c r="C5" i="32"/>
  <c r="C5" i="31"/>
  <c r="C5" i="27"/>
  <c r="C5" i="30"/>
  <c r="C5" i="29"/>
  <c r="C5" i="28"/>
  <c r="B8" i="29"/>
  <c r="H8" i="30"/>
  <c r="K8" i="30" s="1"/>
  <c r="N8" i="30" s="1"/>
  <c r="E8" i="31" s="1"/>
  <c r="G13" i="21"/>
  <c r="F6" i="17"/>
  <c r="F3" i="18" s="1"/>
  <c r="G12" i="22"/>
  <c r="N13" i="21"/>
  <c r="F13" i="17"/>
  <c r="N12" i="22"/>
  <c r="I4" i="17"/>
  <c r="H10" i="25"/>
  <c r="H12" i="26" s="1"/>
  <c r="K6" i="25"/>
  <c r="L13" i="21"/>
  <c r="F11" i="17"/>
  <c r="L12" i="22"/>
  <c r="C5" i="26"/>
  <c r="E17" i="17"/>
  <c r="E7" i="18"/>
  <c r="E10" i="22"/>
  <c r="F7" i="22"/>
  <c r="C10" i="22"/>
  <c r="J10" i="21"/>
  <c r="M3" i="21"/>
  <c r="V10" i="15"/>
  <c r="V7" i="12"/>
  <c r="T7" i="12"/>
  <c r="V3" i="12"/>
  <c r="E9" i="13"/>
  <c r="F4" i="13" s="1"/>
  <c r="C9" i="13"/>
  <c r="D4" i="13" s="1"/>
  <c r="H8" i="13"/>
  <c r="B8" i="30" l="1"/>
  <c r="F5" i="29"/>
  <c r="I5" i="29" s="1"/>
  <c r="L5" i="29" s="1"/>
  <c r="F5" i="32"/>
  <c r="I5" i="32" s="1"/>
  <c r="L5" i="32" s="1"/>
  <c r="F5" i="28"/>
  <c r="I5" i="28" s="1"/>
  <c r="L5" i="28" s="1"/>
  <c r="H8" i="31"/>
  <c r="K8" i="31" s="1"/>
  <c r="N8" i="31" s="1"/>
  <c r="E8" i="32" s="1"/>
  <c r="H8" i="32" s="1"/>
  <c r="K8" i="32" s="1"/>
  <c r="N8" i="32" s="1"/>
  <c r="F5" i="30"/>
  <c r="I5" i="30" s="1"/>
  <c r="L5" i="30" s="1"/>
  <c r="F5" i="33"/>
  <c r="I5" i="33" s="1"/>
  <c r="L5" i="33" s="1"/>
  <c r="F5" i="31"/>
  <c r="I5" i="31" s="1"/>
  <c r="L5" i="31" s="1"/>
  <c r="F5" i="27"/>
  <c r="I5" i="27" s="1"/>
  <c r="L5" i="27" s="1"/>
  <c r="K10" i="25"/>
  <c r="K12" i="26" s="1"/>
  <c r="N6" i="25"/>
  <c r="B6" i="25" s="1"/>
  <c r="I7" i="17"/>
  <c r="E13" i="22"/>
  <c r="E13" i="25"/>
  <c r="G4" i="17"/>
  <c r="E12" i="23"/>
  <c r="E13" i="23" s="1"/>
  <c r="J13" i="21"/>
  <c r="F9" i="17"/>
  <c r="F4" i="18" s="1"/>
  <c r="J12" i="22"/>
  <c r="C13" i="22"/>
  <c r="G2" i="17"/>
  <c r="C12" i="23"/>
  <c r="F5" i="26"/>
  <c r="D3" i="13"/>
  <c r="D2" i="13"/>
  <c r="F3" i="13"/>
  <c r="F2" i="13"/>
  <c r="H10" i="22"/>
  <c r="I7" i="22"/>
  <c r="F10" i="22"/>
  <c r="D3" i="22"/>
  <c r="M10" i="21"/>
  <c r="B3" i="21"/>
  <c r="B10" i="21" s="1"/>
  <c r="F5" i="13"/>
  <c r="D5" i="13"/>
  <c r="F6" i="13"/>
  <c r="D6" i="13"/>
  <c r="H9" i="13"/>
  <c r="I9" i="13" s="1"/>
  <c r="F8" i="13"/>
  <c r="D8" i="13"/>
  <c r="B5" i="31" l="1"/>
  <c r="B13" i="21"/>
  <c r="V10" i="21"/>
  <c r="B5" i="28"/>
  <c r="B5" i="29"/>
  <c r="B5" i="30"/>
  <c r="B8" i="32"/>
  <c r="E8" i="33"/>
  <c r="B5" i="27"/>
  <c r="B5" i="33"/>
  <c r="B8" i="31"/>
  <c r="B5" i="32"/>
  <c r="N10" i="25"/>
  <c r="N12" i="26" s="1"/>
  <c r="E6" i="26"/>
  <c r="M13" i="21"/>
  <c r="F12" i="17"/>
  <c r="M12" i="22"/>
  <c r="B12" i="22" s="1"/>
  <c r="H13" i="22"/>
  <c r="G7" i="17"/>
  <c r="H13" i="25"/>
  <c r="H12" i="23"/>
  <c r="H13" i="23" s="1"/>
  <c r="I10" i="17"/>
  <c r="F13" i="22"/>
  <c r="G5" i="17"/>
  <c r="F12" i="23"/>
  <c r="I5" i="26"/>
  <c r="N10" i="22"/>
  <c r="K10" i="22"/>
  <c r="L7" i="22"/>
  <c r="C7" i="23" s="1"/>
  <c r="I10" i="22"/>
  <c r="D10" i="22"/>
  <c r="G3" i="22"/>
  <c r="B3" i="12"/>
  <c r="B7" i="12" s="1"/>
  <c r="H8" i="33" l="1"/>
  <c r="K8" i="33" s="1"/>
  <c r="N8" i="33" s="1"/>
  <c r="F7" i="23"/>
  <c r="C10" i="23"/>
  <c r="C12" i="25" s="1"/>
  <c r="K13" i="22"/>
  <c r="K13" i="25"/>
  <c r="G10" i="17"/>
  <c r="K12" i="23"/>
  <c r="K13" i="23" s="1"/>
  <c r="E10" i="26"/>
  <c r="E12" i="27" s="1"/>
  <c r="H6" i="26"/>
  <c r="F14" i="17"/>
  <c r="F16" i="17" s="1"/>
  <c r="F17" i="17" s="1"/>
  <c r="F5" i="18"/>
  <c r="F6" i="18" s="1"/>
  <c r="B6" i="24" s="1"/>
  <c r="D13" i="22"/>
  <c r="G3" i="17"/>
  <c r="G2" i="18" s="1"/>
  <c r="D12" i="23"/>
  <c r="N13" i="22"/>
  <c r="G13" i="17"/>
  <c r="N13" i="25"/>
  <c r="N12" i="23"/>
  <c r="N13" i="23" s="1"/>
  <c r="I13" i="17"/>
  <c r="L5" i="26"/>
  <c r="I13" i="22"/>
  <c r="G8" i="17"/>
  <c r="I12" i="23"/>
  <c r="L10" i="22"/>
  <c r="B7" i="22"/>
  <c r="J3" i="22"/>
  <c r="G10" i="22"/>
  <c r="C7" i="24" l="1"/>
  <c r="E6" i="24"/>
  <c r="F6" i="24" s="1"/>
  <c r="B8" i="33"/>
  <c r="F7" i="18"/>
  <c r="K6" i="26"/>
  <c r="H10" i="26"/>
  <c r="H12" i="27" s="1"/>
  <c r="H2" i="17"/>
  <c r="C13" i="23"/>
  <c r="E13" i="26"/>
  <c r="J4" i="17"/>
  <c r="G13" i="22"/>
  <c r="G6" i="17"/>
  <c r="G3" i="18" s="1"/>
  <c r="G12" i="23"/>
  <c r="B5" i="26"/>
  <c r="I7" i="23"/>
  <c r="F10" i="23"/>
  <c r="F12" i="25" s="1"/>
  <c r="L13" i="22"/>
  <c r="G11" i="17"/>
  <c r="L12" i="23"/>
  <c r="J10" i="22"/>
  <c r="M3" i="22"/>
  <c r="D3" i="23" s="1"/>
  <c r="H5" i="17" l="1"/>
  <c r="F13" i="23"/>
  <c r="N6" i="26"/>
  <c r="K10" i="26"/>
  <c r="K12" i="27" s="1"/>
  <c r="L7" i="23"/>
  <c r="I10" i="23"/>
  <c r="I12" i="25" s="1"/>
  <c r="B7" i="23"/>
  <c r="D10" i="23"/>
  <c r="D12" i="25" s="1"/>
  <c r="G3" i="23"/>
  <c r="J13" i="22"/>
  <c r="G9" i="17"/>
  <c r="G4" i="18" s="1"/>
  <c r="J12" i="23"/>
  <c r="H13" i="26"/>
  <c r="J7" i="17"/>
  <c r="M10" i="22"/>
  <c r="B3" i="22"/>
  <c r="B10" i="22" s="1"/>
  <c r="B13" i="22" l="1"/>
  <c r="V10" i="22"/>
  <c r="N10" i="26"/>
  <c r="N12" i="27" s="1"/>
  <c r="E6" i="27"/>
  <c r="B6" i="26"/>
  <c r="M13" i="22"/>
  <c r="G12" i="17"/>
  <c r="G5" i="18" s="1"/>
  <c r="G6" i="18" s="1"/>
  <c r="B7" i="24" s="1"/>
  <c r="M12" i="23"/>
  <c r="B12" i="23" s="1"/>
  <c r="K13" i="26"/>
  <c r="J10" i="17"/>
  <c r="G14" i="17"/>
  <c r="G16" i="17" s="1"/>
  <c r="G17" i="17" s="1"/>
  <c r="H8" i="17"/>
  <c r="I13" i="23"/>
  <c r="D13" i="23"/>
  <c r="H3" i="17"/>
  <c r="G10" i="23"/>
  <c r="G12" i="25" s="1"/>
  <c r="J3" i="23"/>
  <c r="C7" i="25"/>
  <c r="L10" i="23"/>
  <c r="L12" i="25" s="1"/>
  <c r="J13" i="17" l="1"/>
  <c r="C8" i="24"/>
  <c r="E7" i="24"/>
  <c r="F7" i="24" s="1"/>
  <c r="N13" i="26"/>
  <c r="H6" i="27"/>
  <c r="E10" i="27"/>
  <c r="G7" i="18"/>
  <c r="H2" i="18"/>
  <c r="J10" i="23"/>
  <c r="J12" i="25" s="1"/>
  <c r="M3" i="23"/>
  <c r="B3" i="23" s="1"/>
  <c r="B10" i="23" s="1"/>
  <c r="H11" i="17"/>
  <c r="L13" i="23"/>
  <c r="F7" i="25"/>
  <c r="C10" i="25"/>
  <c r="C12" i="26" s="1"/>
  <c r="G13" i="23"/>
  <c r="H6" i="17"/>
  <c r="H3" i="18" s="1"/>
  <c r="B13" i="23" l="1"/>
  <c r="V10" i="23"/>
  <c r="E13" i="27"/>
  <c r="E12" i="28"/>
  <c r="K6" i="27"/>
  <c r="H10" i="27"/>
  <c r="M10" i="23"/>
  <c r="M12" i="25" s="1"/>
  <c r="B12" i="25" s="1"/>
  <c r="D3" i="25"/>
  <c r="I2" i="17"/>
  <c r="C13" i="25"/>
  <c r="J13" i="23"/>
  <c r="H9" i="17"/>
  <c r="H4" i="18" s="1"/>
  <c r="I7" i="25"/>
  <c r="F10" i="25"/>
  <c r="F12" i="26" s="1"/>
  <c r="H13" i="27" l="1"/>
  <c r="H12" i="28"/>
  <c r="N6" i="27"/>
  <c r="K10" i="27"/>
  <c r="D10" i="25"/>
  <c r="D12" i="26" s="1"/>
  <c r="G3" i="25"/>
  <c r="L7" i="25"/>
  <c r="B7" i="25" s="1"/>
  <c r="I10" i="25"/>
  <c r="I12" i="26" s="1"/>
  <c r="I5" i="17"/>
  <c r="F13" i="25"/>
  <c r="M13" i="23"/>
  <c r="H12" i="17"/>
  <c r="E6" i="28" l="1"/>
  <c r="N10" i="27"/>
  <c r="K13" i="27"/>
  <c r="K12" i="28"/>
  <c r="B6" i="27"/>
  <c r="H5" i="18"/>
  <c r="H6" i="18" s="1"/>
  <c r="B8" i="24" s="1"/>
  <c r="E8" i="24" s="1"/>
  <c r="F8" i="24" s="1"/>
  <c r="H14" i="17"/>
  <c r="H16" i="17" s="1"/>
  <c r="H17" i="17" s="1"/>
  <c r="D13" i="25"/>
  <c r="I3" i="17"/>
  <c r="C7" i="26"/>
  <c r="L10" i="25"/>
  <c r="L12" i="26" s="1"/>
  <c r="G10" i="25"/>
  <c r="G12" i="26" s="1"/>
  <c r="J3" i="25"/>
  <c r="I8" i="17"/>
  <c r="I13" i="25"/>
  <c r="N13" i="27" l="1"/>
  <c r="N12" i="28"/>
  <c r="E10" i="28"/>
  <c r="H6" i="28"/>
  <c r="C9" i="24"/>
  <c r="M3" i="25"/>
  <c r="J10" i="25"/>
  <c r="J12" i="26" s="1"/>
  <c r="I2" i="18"/>
  <c r="G13" i="25"/>
  <c r="I6" i="17"/>
  <c r="I3" i="18" s="1"/>
  <c r="I11" i="17"/>
  <c r="L13" i="25"/>
  <c r="F7" i="26"/>
  <c r="C10" i="26"/>
  <c r="C12" i="27" s="1"/>
  <c r="H7" i="18"/>
  <c r="E13" i="28" l="1"/>
  <c r="E12" i="29"/>
  <c r="K6" i="28"/>
  <c r="H10" i="28"/>
  <c r="C13" i="26"/>
  <c r="J2" i="17"/>
  <c r="I7" i="26"/>
  <c r="F10" i="26"/>
  <c r="F12" i="27" s="1"/>
  <c r="J13" i="25"/>
  <c r="I9" i="17"/>
  <c r="M10" i="25"/>
  <c r="M12" i="26" s="1"/>
  <c r="B12" i="26" s="1"/>
  <c r="D3" i="26"/>
  <c r="B3" i="25"/>
  <c r="B10" i="25" s="1"/>
  <c r="B13" i="25" l="1"/>
  <c r="V10" i="25"/>
  <c r="H13" i="28"/>
  <c r="H12" i="29"/>
  <c r="N6" i="28"/>
  <c r="K10" i="28"/>
  <c r="L7" i="26"/>
  <c r="B7" i="26" s="1"/>
  <c r="I10" i="26"/>
  <c r="I12" i="27" s="1"/>
  <c r="I4" i="18"/>
  <c r="M13" i="25"/>
  <c r="I12" i="17"/>
  <c r="I5" i="18" s="1"/>
  <c r="G3" i="26"/>
  <c r="D10" i="26"/>
  <c r="D12" i="27" s="1"/>
  <c r="F13" i="26"/>
  <c r="J5" i="17"/>
  <c r="E6" i="29" l="1"/>
  <c r="N10" i="28"/>
  <c r="K13" i="28"/>
  <c r="K12" i="29"/>
  <c r="B6" i="28"/>
  <c r="L10" i="26"/>
  <c r="L12" i="27" s="1"/>
  <c r="C7" i="27"/>
  <c r="J3" i="26"/>
  <c r="G10" i="26"/>
  <c r="G12" i="27" s="1"/>
  <c r="I13" i="26"/>
  <c r="J8" i="17"/>
  <c r="D13" i="26"/>
  <c r="J3" i="17"/>
  <c r="I6" i="18"/>
  <c r="B9" i="24" s="1"/>
  <c r="I14" i="17"/>
  <c r="I16" i="17" s="1"/>
  <c r="I17" i="17" s="1"/>
  <c r="J11" i="17"/>
  <c r="C10" i="24" l="1"/>
  <c r="E9" i="24"/>
  <c r="F9" i="24" s="1"/>
  <c r="N13" i="28"/>
  <c r="N12" i="29"/>
  <c r="H6" i="29"/>
  <c r="E10" i="29"/>
  <c r="L13" i="26"/>
  <c r="F7" i="27"/>
  <c r="C10" i="27"/>
  <c r="I7" i="18"/>
  <c r="J2" i="18"/>
  <c r="G13" i="26"/>
  <c r="J6" i="17"/>
  <c r="J3" i="18" s="1"/>
  <c r="J10" i="26"/>
  <c r="J12" i="27" s="1"/>
  <c r="M3" i="26"/>
  <c r="K6" i="29" l="1"/>
  <c r="H10" i="29"/>
  <c r="M10" i="26"/>
  <c r="M12" i="27" s="1"/>
  <c r="B12" i="27" s="1"/>
  <c r="D3" i="27"/>
  <c r="E13" i="29"/>
  <c r="E12" i="30"/>
  <c r="C13" i="27"/>
  <c r="C12" i="28"/>
  <c r="I7" i="27"/>
  <c r="F10" i="27"/>
  <c r="B3" i="26"/>
  <c r="B10" i="26" s="1"/>
  <c r="J13" i="26"/>
  <c r="J9" i="17"/>
  <c r="J12" i="17" l="1"/>
  <c r="J5" i="18" s="1"/>
  <c r="B13" i="26"/>
  <c r="V10" i="26"/>
  <c r="M13" i="26"/>
  <c r="H13" i="29"/>
  <c r="H12" i="30"/>
  <c r="K10" i="29"/>
  <c r="N6" i="29"/>
  <c r="G3" i="27"/>
  <c r="D10" i="27"/>
  <c r="F13" i="27"/>
  <c r="F12" i="28"/>
  <c r="L7" i="27"/>
  <c r="B7" i="27" s="1"/>
  <c r="I10" i="27"/>
  <c r="J14" i="17"/>
  <c r="J16" i="17" s="1"/>
  <c r="J17" i="17" s="1"/>
  <c r="J4" i="18"/>
  <c r="J6" i="18" s="1"/>
  <c r="N10" i="29" l="1"/>
  <c r="E6" i="30"/>
  <c r="B6" i="29"/>
  <c r="K13" i="29"/>
  <c r="K12" i="30"/>
  <c r="D13" i="27"/>
  <c r="D12" i="28"/>
  <c r="G10" i="27"/>
  <c r="J3" i="27"/>
  <c r="I13" i="27"/>
  <c r="I12" i="28"/>
  <c r="C7" i="28"/>
  <c r="L10" i="27"/>
  <c r="J7" i="18"/>
  <c r="B10" i="24"/>
  <c r="C11" i="24" s="1"/>
  <c r="E10" i="24" l="1"/>
  <c r="F10" i="24" s="1"/>
  <c r="H6" i="30"/>
  <c r="E10" i="30"/>
  <c r="J10" i="27"/>
  <c r="M3" i="27"/>
  <c r="N13" i="29"/>
  <c r="N12" i="30"/>
  <c r="G13" i="27"/>
  <c r="G12" i="28"/>
  <c r="F7" i="28"/>
  <c r="C10" i="28"/>
  <c r="L13" i="27"/>
  <c r="L12" i="28"/>
  <c r="B11" i="24"/>
  <c r="E11" i="24" s="1"/>
  <c r="F11" i="24" s="1"/>
  <c r="J13" i="27" l="1"/>
  <c r="J12" i="28"/>
  <c r="E13" i="30"/>
  <c r="E12" i="31"/>
  <c r="M10" i="27"/>
  <c r="D3" i="28"/>
  <c r="B3" i="27"/>
  <c r="B10" i="27" s="1"/>
  <c r="K6" i="30"/>
  <c r="H10" i="30"/>
  <c r="F10" i="28"/>
  <c r="I7" i="28"/>
  <c r="C13" i="28"/>
  <c r="C12" i="29"/>
  <c r="C12" i="24"/>
  <c r="B12" i="24" s="1"/>
  <c r="E12" i="24" s="1"/>
  <c r="F12" i="24" s="1"/>
  <c r="B13" i="27" l="1"/>
  <c r="V10" i="27"/>
  <c r="H13" i="30"/>
  <c r="H12" i="31"/>
  <c r="D10" i="28"/>
  <c r="G3" i="28"/>
  <c r="N6" i="30"/>
  <c r="K10" i="30"/>
  <c r="M13" i="27"/>
  <c r="M12" i="28"/>
  <c r="B12" i="28" s="1"/>
  <c r="L7" i="28"/>
  <c r="B7" i="28" s="1"/>
  <c r="I10" i="28"/>
  <c r="F13" i="28"/>
  <c r="F12" i="29"/>
  <c r="C13" i="24"/>
  <c r="B13" i="24" s="1"/>
  <c r="E13" i="24" s="1"/>
  <c r="F13" i="24" s="1"/>
  <c r="D13" i="28" l="1"/>
  <c r="D12" i="29"/>
  <c r="G10" i="28"/>
  <c r="J3" i="28"/>
  <c r="K13" i="30"/>
  <c r="K12" i="31"/>
  <c r="B6" i="30"/>
  <c r="E6" i="31"/>
  <c r="N10" i="30"/>
  <c r="I13" i="28"/>
  <c r="I12" i="29"/>
  <c r="C7" i="29"/>
  <c r="L10" i="28"/>
  <c r="C14" i="24"/>
  <c r="B14" i="24" s="1"/>
  <c r="E14" i="24" s="1"/>
  <c r="F14" i="24" s="1"/>
  <c r="H6" i="31" l="1"/>
  <c r="E10" i="31"/>
  <c r="G13" i="28"/>
  <c r="G12" i="29"/>
  <c r="J10" i="28"/>
  <c r="M3" i="28"/>
  <c r="B3" i="28" s="1"/>
  <c r="B10" i="28" s="1"/>
  <c r="N13" i="30"/>
  <c r="N12" i="31"/>
  <c r="F7" i="29"/>
  <c r="C10" i="29"/>
  <c r="L13" i="28"/>
  <c r="L12" i="29"/>
  <c r="C15" i="24"/>
  <c r="B15" i="24" s="1"/>
  <c r="E15" i="24" s="1"/>
  <c r="F15" i="24" s="1"/>
  <c r="B13" i="28" l="1"/>
  <c r="V10" i="28"/>
  <c r="J13" i="28"/>
  <c r="J12" i="29"/>
  <c r="E13" i="31"/>
  <c r="E12" i="32"/>
  <c r="M10" i="28"/>
  <c r="D3" i="29"/>
  <c r="K6" i="31"/>
  <c r="H10" i="31"/>
  <c r="C13" i="29"/>
  <c r="C12" i="30"/>
  <c r="F10" i="29"/>
  <c r="I7" i="29"/>
  <c r="C16" i="24"/>
  <c r="B16" i="24" s="1"/>
  <c r="E16" i="24" s="1"/>
  <c r="F16" i="24" s="1"/>
  <c r="M13" i="28" l="1"/>
  <c r="M12" i="29"/>
  <c r="B12" i="29" s="1"/>
  <c r="K10" i="31"/>
  <c r="N6" i="31"/>
  <c r="B6" i="31" s="1"/>
  <c r="G3" i="29"/>
  <c r="D10" i="29"/>
  <c r="H13" i="31"/>
  <c r="H12" i="32"/>
  <c r="F13" i="29"/>
  <c r="F12" i="30"/>
  <c r="L7" i="29"/>
  <c r="B7" i="29" s="1"/>
  <c r="I10" i="29"/>
  <c r="C17" i="24"/>
  <c r="B17" i="24" s="1"/>
  <c r="E17" i="24" s="1"/>
  <c r="F17" i="24" s="1"/>
  <c r="D13" i="29" l="1"/>
  <c r="D12" i="30"/>
  <c r="J3" i="29"/>
  <c r="G10" i="29"/>
  <c r="K13" i="31"/>
  <c r="K12" i="32"/>
  <c r="E6" i="32"/>
  <c r="N10" i="31"/>
  <c r="C7" i="30"/>
  <c r="L10" i="29"/>
  <c r="I13" i="29"/>
  <c r="I12" i="30"/>
  <c r="C18" i="24"/>
  <c r="B18" i="24" s="1"/>
  <c r="E18" i="24" s="1"/>
  <c r="F18" i="24" s="1"/>
  <c r="J10" i="29" l="1"/>
  <c r="M3" i="29"/>
  <c r="G13" i="29"/>
  <c r="G12" i="30"/>
  <c r="N13" i="31"/>
  <c r="N12" i="32"/>
  <c r="H6" i="32"/>
  <c r="E10" i="32"/>
  <c r="L13" i="29"/>
  <c r="L12" i="30"/>
  <c r="F7" i="30"/>
  <c r="C10" i="30"/>
  <c r="C19" i="24"/>
  <c r="B19" i="24" s="1"/>
  <c r="E19" i="24" s="1"/>
  <c r="F19" i="24" s="1"/>
  <c r="K6" i="32" l="1"/>
  <c r="H10" i="32"/>
  <c r="D3" i="30"/>
  <c r="M10" i="29"/>
  <c r="B3" i="29"/>
  <c r="B10" i="29" s="1"/>
  <c r="E13" i="32"/>
  <c r="E12" i="33"/>
  <c r="J13" i="29"/>
  <c r="J12" i="30"/>
  <c r="C13" i="30"/>
  <c r="C12" i="31"/>
  <c r="I7" i="30"/>
  <c r="F10" i="30"/>
  <c r="C20" i="24"/>
  <c r="B20" i="24" s="1"/>
  <c r="E20" i="24" s="1"/>
  <c r="F20" i="24" s="1"/>
  <c r="B13" i="29" l="1"/>
  <c r="V10" i="29"/>
  <c r="H13" i="32"/>
  <c r="H12" i="33"/>
  <c r="K10" i="32"/>
  <c r="N6" i="32"/>
  <c r="D10" i="30"/>
  <c r="G3" i="30"/>
  <c r="M13" i="29"/>
  <c r="M12" i="30"/>
  <c r="B12" i="30" s="1"/>
  <c r="F13" i="30"/>
  <c r="F12" i="31"/>
  <c r="L7" i="30"/>
  <c r="B7" i="30" s="1"/>
  <c r="I10" i="30"/>
  <c r="C21" i="24"/>
  <c r="B21" i="24" s="1"/>
  <c r="E21" i="24" s="1"/>
  <c r="F21" i="24" s="1"/>
  <c r="G10" i="30" l="1"/>
  <c r="J3" i="30"/>
  <c r="D13" i="30"/>
  <c r="D12" i="31"/>
  <c r="K13" i="32"/>
  <c r="K12" i="33"/>
  <c r="N10" i="32"/>
  <c r="E6" i="33"/>
  <c r="B6" i="32"/>
  <c r="C7" i="31"/>
  <c r="L10" i="30"/>
  <c r="I13" i="30"/>
  <c r="I12" i="31"/>
  <c r="C22" i="24"/>
  <c r="B22" i="24" s="1"/>
  <c r="C23" i="24" l="1"/>
  <c r="B23" i="24" s="1"/>
  <c r="E23" i="24" s="1"/>
  <c r="F23" i="24" s="1"/>
  <c r="E22" i="24"/>
  <c r="F22" i="24" s="1"/>
  <c r="J10" i="30"/>
  <c r="M3" i="30"/>
  <c r="B3" i="30" s="1"/>
  <c r="B10" i="30" s="1"/>
  <c r="N13" i="32"/>
  <c r="N12" i="33"/>
  <c r="G12" i="31"/>
  <c r="G13" i="30"/>
  <c r="E10" i="33"/>
  <c r="E13" i="33" s="1"/>
  <c r="H6" i="33"/>
  <c r="L13" i="30"/>
  <c r="L12" i="31"/>
  <c r="F7" i="31"/>
  <c r="C10" i="31"/>
  <c r="C24" i="24" l="1"/>
  <c r="B24" i="24" s="1"/>
  <c r="E24" i="24" s="1"/>
  <c r="F24" i="24" s="1"/>
  <c r="B13" i="30"/>
  <c r="V10" i="30"/>
  <c r="M10" i="30"/>
  <c r="D3" i="31"/>
  <c r="K6" i="33"/>
  <c r="H10" i="33"/>
  <c r="H13" i="33" s="1"/>
  <c r="J13" i="30"/>
  <c r="J12" i="31"/>
  <c r="I7" i="31"/>
  <c r="F10" i="31"/>
  <c r="C13" i="31"/>
  <c r="C12" i="32"/>
  <c r="K10" i="33" l="1"/>
  <c r="K13" i="33" s="1"/>
  <c r="N6" i="33"/>
  <c r="N10" i="33" s="1"/>
  <c r="N13" i="33" s="1"/>
  <c r="G3" i="31"/>
  <c r="D10" i="31"/>
  <c r="M13" i="30"/>
  <c r="M12" i="31"/>
  <c r="B12" i="31" s="1"/>
  <c r="F13" i="31"/>
  <c r="F12" i="32"/>
  <c r="L7" i="31"/>
  <c r="I10" i="31"/>
  <c r="B6" i="33" l="1"/>
  <c r="D13" i="31"/>
  <c r="D12" i="32"/>
  <c r="J3" i="31"/>
  <c r="G10" i="31"/>
  <c r="C7" i="32"/>
  <c r="L10" i="31"/>
  <c r="B7" i="31"/>
  <c r="I13" i="31"/>
  <c r="I12" i="32"/>
  <c r="J10" i="31" l="1"/>
  <c r="M3" i="31"/>
  <c r="B3" i="31" s="1"/>
  <c r="B10" i="31" s="1"/>
  <c r="G13" i="31"/>
  <c r="G12" i="32"/>
  <c r="L13" i="31"/>
  <c r="L12" i="32"/>
  <c r="C10" i="32"/>
  <c r="F7" i="32"/>
  <c r="B13" i="31" l="1"/>
  <c r="V10" i="31"/>
  <c r="M10" i="31"/>
  <c r="D3" i="32"/>
  <c r="J13" i="31"/>
  <c r="J12" i="32"/>
  <c r="I7" i="32"/>
  <c r="F10" i="32"/>
  <c r="C13" i="32"/>
  <c r="C12" i="33"/>
  <c r="D10" i="32" l="1"/>
  <c r="G3" i="32"/>
  <c r="M13" i="31"/>
  <c r="M12" i="32"/>
  <c r="B12" i="32" s="1"/>
  <c r="F13" i="32"/>
  <c r="F12" i="33"/>
  <c r="L7" i="32"/>
  <c r="I10" i="32"/>
  <c r="G10" i="32" l="1"/>
  <c r="J3" i="32"/>
  <c r="D13" i="32"/>
  <c r="D12" i="33"/>
  <c r="C7" i="33"/>
  <c r="L10" i="32"/>
  <c r="B7" i="32"/>
  <c r="I13" i="32"/>
  <c r="I12" i="33"/>
  <c r="J10" i="32" l="1"/>
  <c r="M3" i="32"/>
  <c r="B3" i="32" s="1"/>
  <c r="B10" i="32" s="1"/>
  <c r="G13" i="32"/>
  <c r="G12" i="33"/>
  <c r="F7" i="33"/>
  <c r="C10" i="33"/>
  <c r="C13" i="33" s="1"/>
  <c r="L13" i="32"/>
  <c r="L12" i="33"/>
  <c r="B13" i="32" l="1"/>
  <c r="V10" i="32"/>
  <c r="D3" i="33"/>
  <c r="M10" i="32"/>
  <c r="J13" i="32"/>
  <c r="J12" i="33"/>
  <c r="I7" i="33"/>
  <c r="F10" i="33"/>
  <c r="F13" i="33" s="1"/>
  <c r="M13" i="32" l="1"/>
  <c r="M12" i="33"/>
  <c r="B12" i="33" s="1"/>
  <c r="G3" i="33"/>
  <c r="D10" i="33"/>
  <c r="D13" i="33" s="1"/>
  <c r="L7" i="33"/>
  <c r="L10" i="33" s="1"/>
  <c r="L13" i="33" s="1"/>
  <c r="I10" i="33"/>
  <c r="I13" i="33" s="1"/>
  <c r="B7" i="33" l="1"/>
  <c r="G10" i="33"/>
  <c r="G13" i="33" s="1"/>
  <c r="J3" i="33"/>
  <c r="M3" i="33" l="1"/>
  <c r="M10" i="33" s="1"/>
  <c r="M13" i="33" s="1"/>
  <c r="J10" i="33"/>
  <c r="J13" i="33" s="1"/>
  <c r="B3" i="33" l="1"/>
  <c r="B10" i="33" s="1"/>
  <c r="B13" i="33" s="1"/>
  <c r="V10" i="33" l="1"/>
</calcChain>
</file>

<file path=xl/sharedStrings.xml><?xml version="1.0" encoding="utf-8"?>
<sst xmlns="http://schemas.openxmlformats.org/spreadsheetml/2006/main" count="560" uniqueCount="86">
  <si>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</si>
  <si>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</si>
  <si>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</si>
  <si>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</si>
  <si>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</si>
  <si>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</si>
  <si>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</si>
  <si>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</si>
  <si>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</si>
  <si>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</si>
  <si>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</si>
  <si>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</si>
  <si>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Month</t>
  </si>
  <si>
    <t>Total</t>
  </si>
  <si>
    <t># Shares</t>
  </si>
  <si>
    <t>Cost Basis</t>
  </si>
  <si>
    <t>Jan</t>
  </si>
  <si>
    <t>Feb</t>
  </si>
  <si>
    <t>Mar</t>
  </si>
  <si>
    <t>Apr</t>
  </si>
  <si>
    <t>Jun</t>
  </si>
  <si>
    <t>Jul</t>
  </si>
  <si>
    <t>Aug</t>
  </si>
  <si>
    <t>Per Share</t>
  </si>
  <si>
    <t>Total Div</t>
  </si>
  <si>
    <t>Div/Share</t>
  </si>
  <si>
    <t>% change</t>
  </si>
  <si>
    <t>Nov (P)</t>
  </si>
  <si>
    <t>Dec (P)</t>
  </si>
  <si>
    <t>Feb (P)</t>
  </si>
  <si>
    <t>Mar (P)</t>
  </si>
  <si>
    <t>Apr (P)</t>
  </si>
  <si>
    <t>May (P)</t>
  </si>
  <si>
    <t>Jun (P)</t>
  </si>
  <si>
    <t>Jul (P)</t>
  </si>
  <si>
    <t>Aug (P)</t>
  </si>
  <si>
    <t>Sep (P)</t>
  </si>
  <si>
    <t>Oct (P)</t>
  </si>
  <si>
    <t>Brokerage Account</t>
  </si>
  <si>
    <t>Cash</t>
  </si>
  <si>
    <t>Current Yield</t>
  </si>
  <si>
    <t>YOC</t>
  </si>
  <si>
    <t>Current Value</t>
  </si>
  <si>
    <t>Total Gain</t>
  </si>
  <si>
    <t>Total (P)</t>
  </si>
  <si>
    <t>XOM</t>
  </si>
  <si>
    <t>Q1</t>
  </si>
  <si>
    <t>Q2</t>
  </si>
  <si>
    <t>Q3</t>
  </si>
  <si>
    <t>Q4</t>
  </si>
  <si>
    <t>JNJ</t>
  </si>
  <si>
    <t>Sep</t>
  </si>
  <si>
    <t>PM</t>
  </si>
  <si>
    <t>Cost</t>
  </si>
  <si>
    <t>FMV</t>
  </si>
  <si>
    <t xml:space="preserve">Oct </t>
  </si>
  <si>
    <t>Fees</t>
  </si>
  <si>
    <t>%</t>
  </si>
  <si>
    <t>WMT</t>
  </si>
  <si>
    <t>Nov</t>
  </si>
  <si>
    <t>Dec</t>
  </si>
  <si>
    <t>BX</t>
  </si>
  <si>
    <t># Shs</t>
  </si>
  <si>
    <t>Oct</t>
  </si>
  <si>
    <t>TGT</t>
  </si>
  <si>
    <t>'15</t>
  </si>
  <si>
    <t>Quarterly</t>
  </si>
  <si>
    <t>'16</t>
  </si>
  <si>
    <t>'17</t>
  </si>
  <si>
    <t>'18</t>
  </si>
  <si>
    <t>Cur Val</t>
  </si>
  <si>
    <t>Cur Yld</t>
  </si>
  <si>
    <t>Jan (P)</t>
  </si>
  <si>
    <t>Tot Gain</t>
  </si>
  <si>
    <t>Div/Shr</t>
  </si>
  <si>
    <t>Per Shr</t>
  </si>
  <si>
    <t>Tot Div</t>
  </si>
  <si>
    <t># Shrs</t>
  </si>
  <si>
    <t>Dividends</t>
  </si>
  <si>
    <t>'19</t>
  </si>
  <si>
    <t>'20</t>
  </si>
  <si>
    <t>'21</t>
  </si>
  <si>
    <t>'22</t>
  </si>
  <si>
    <t>'23</t>
  </si>
  <si>
    <t>Brokerage</t>
  </si>
  <si>
    <t>CSCO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</si>
</sst>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\-mmm\-yyyy;@"/>
    <numFmt numFmtId="165" formatCode="_(* #,##0.000_);_(* \(#,##0.0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quotePrefix="1" applyNumberFormat="1"/>
    <xf numFmtId="43" fontId="0" fillId="0" borderId="0" xfId="1" applyFont="1"/>
    <xf numFmtId="0" fontId="2" fillId="0" borderId="0" xfId="0" applyFont="1"/>
    <xf numFmtId="43" fontId="0" fillId="0" borderId="0" xfId="0" applyNumberFormat="1"/>
    <xf numFmtId="43" fontId="2" fillId="0" borderId="0" xfId="1" applyFont="1"/>
    <xf numFmtId="10" fontId="0" fillId="0" borderId="0" xfId="2" applyNumberFormat="1" applyFont="1"/>
    <xf numFmtId="0" fontId="2" fillId="0" borderId="0" xfId="0" applyFont="1" applyFill="1" applyAlignment="1">
      <alignment horizontal="center"/>
    </xf>
    <xf numFmtId="43" fontId="0" fillId="3" borderId="0" xfId="1" applyFont="1" applyFill="1"/>
    <xf numFmtId="43" fontId="0" fillId="0" borderId="0" xfId="1" applyFont="1" applyFill="1"/>
    <xf numFmtId="43" fontId="2" fillId="0" borderId="0" xfId="0" applyNumberFormat="1" applyFont="1" applyFill="1"/>
    <xf numFmtId="0" fontId="0" fillId="0" borderId="0" xfId="0" applyFill="1"/>
    <xf numFmtId="43" fontId="2" fillId="0" borderId="0" xfId="1" applyFont="1" applyFill="1"/>
    <xf numFmtId="43" fontId="2" fillId="0" borderId="0" xfId="1" applyFont="1" applyAlignment="1">
      <alignment horizontal="center"/>
    </xf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165" fontId="3" fillId="0" borderId="0" xfId="1" applyNumberFormat="1" applyFont="1"/>
    <xf numFmtId="43" fontId="4" fillId="0" borderId="0" xfId="1" applyFont="1"/>
    <xf numFmtId="43" fontId="3" fillId="0" borderId="0" xfId="1" applyFont="1"/>
    <xf numFmtId="43" fontId="3" fillId="0" borderId="0" xfId="1" applyFont="1" applyFill="1"/>
    <xf numFmtId="43" fontId="3" fillId="0" borderId="0" xfId="0" applyNumberFormat="1" applyFont="1"/>
    <xf numFmtId="10" fontId="3" fillId="0" borderId="0" xfId="2" applyNumberFormat="1" applyFont="1"/>
    <xf numFmtId="43" fontId="4" fillId="0" borderId="1" xfId="0" applyNumberFormat="1" applyFont="1" applyBorder="1"/>
    <xf numFmtId="43" fontId="3" fillId="0" borderId="1" xfId="0" applyNumberFormat="1" applyFont="1" applyBorder="1"/>
    <xf numFmtId="10" fontId="3" fillId="0" borderId="1" xfId="2" applyNumberFormat="1" applyFont="1" applyBorder="1"/>
    <xf numFmtId="43" fontId="4" fillId="0" borderId="0" xfId="0" applyNumberFormat="1" applyFont="1" applyBorder="1"/>
    <xf numFmtId="43" fontId="3" fillId="0" borderId="0" xfId="0" applyNumberFormat="1" applyFont="1" applyBorder="1"/>
    <xf numFmtId="0" fontId="3" fillId="0" borderId="0" xfId="0" applyFont="1" applyAlignment="1">
      <alignment horizontal="right"/>
    </xf>
    <xf numFmtId="10" fontId="3" fillId="0" borderId="0" xfId="2" applyNumberFormat="1" applyFont="1" applyAlignment="1">
      <alignment horizontal="right"/>
    </xf>
    <xf numFmtId="43" fontId="2" fillId="0" borderId="3" xfId="0" applyNumberFormat="1" applyFont="1" applyBorder="1"/>
    <xf numFmtId="43" fontId="2" fillId="0" borderId="2" xfId="1" applyFont="1" applyBorder="1"/>
    <xf numFmtId="43" fontId="2" fillId="0" borderId="0" xfId="1" applyFont="1" applyBorder="1"/>
    <xf numFmtId="43" fontId="2" fillId="0" borderId="0" xfId="0" applyNumberFormat="1" applyFont="1"/>
    <xf numFmtId="10" fontId="2" fillId="0" borderId="0" xfId="2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0" xfId="1" applyNumberFormat="1" applyFont="1" applyFill="1" applyBorder="1"/>
    <xf numFmtId="166" fontId="2" fillId="0" borderId="3" xfId="0" applyNumberFormat="1" applyFont="1" applyBorder="1"/>
    <xf numFmtId="0" fontId="2" fillId="0" borderId="0" xfId="0" quotePrefix="1" applyFont="1" applyAlignment="1">
      <alignment horizontal="center"/>
    </xf>
    <xf numFmtId="166" fontId="0" fillId="0" borderId="0" xfId="0" applyNumberFormat="1"/>
    <xf numFmtId="43" fontId="0" fillId="3" borderId="0" xfId="0" applyNumberFormat="1" applyFill="1"/>
    <xf numFmtId="43" fontId="0" fillId="3" borderId="0" xfId="0" applyNumberFormat="1" applyFill="1" applyBorder="1"/>
    <xf numFmtId="166" fontId="2" fillId="0" borderId="0" xfId="1" applyNumberFormat="1" applyFont="1"/>
    <xf numFmtId="9" fontId="0" fillId="0" borderId="0" xfId="2" applyNumberFormat="1" applyFont="1"/>
    <xf numFmtId="0" fontId="2" fillId="0" borderId="0" xfId="0" applyNumberFormat="1" applyFont="1" applyFill="1" applyAlignment="1">
      <alignment horizontal="center"/>
    </xf>
    <xf numFmtId="43" fontId="1" fillId="0" borderId="0" xfId="1" applyNumberFormat="1" applyFont="1" applyFill="1"/>
    <xf numFmtId="43" fontId="0" fillId="0" borderId="0" xfId="0" applyNumberFormat="1" applyFont="1" applyFill="1"/>
    <xf numFmtId="0" fontId="0" fillId="0" borderId="0" xfId="0" applyNumberFormat="1" applyFont="1" applyFill="1"/>
    <xf numFmtId="0" fontId="2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" fontId="3" fillId="0" borderId="0" xfId="0" applyNumberFormat="1" applyFont="1"/>
    <xf numFmtId="165" fontId="4" fillId="0" borderId="0" xfId="1" applyNumberFormat="1" applyFont="1"/>
    <xf numFmtId="43" fontId="4" fillId="0" borderId="0" xfId="0" applyNumberFormat="1" applyFont="1"/>
    <xf numFmtId="10" fontId="4" fillId="0" borderId="1" xfId="2" applyNumberFormat="1" applyFont="1" applyBorder="1"/>
    <xf numFmtId="0" fontId="3" fillId="0" borderId="0" xfId="0" applyFont="1" applyAlignment="1">
      <alignment horizontal="center"/>
    </xf>
    <xf numFmtId="43" fontId="3" fillId="3" borderId="0" xfId="1" applyFont="1" applyFill="1"/>
    <xf numFmtId="43" fontId="3" fillId="4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Mthly!$B$1</c:f>
              <c:strCache>
                <c:ptCount val="1"/>
                <c:pt idx="0">
                  <c:v>'15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Mthly!$B$2:$B$13</c:f>
            </c:numRef>
          </c:val>
          <c:extLst>
            <c:ext xmlns:c16="http://schemas.microsoft.com/office/drawing/2014/chart" uri="{C3380CC4-5D6E-409C-BE32-E72D297353CC}">
              <c16:uniqueId val="{00000000-1813-44CC-9F15-53F6C7017A3B}"/>
            </c:ext>
          </c:extLst>
        </c:ser>
        <c:ser>
          <c:idx val="2"/>
          <c:order val="1"/>
          <c:tx>
            <c:strRef>
              <c:f>Mthly!$C$1</c:f>
              <c:strCache>
                <c:ptCount val="1"/>
                <c:pt idx="0">
                  <c:v>'16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2A-463C-A1D5-5C63D9E67F6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2A-463C-A1D5-5C63D9E67F66}"/>
              </c:ext>
            </c:extLst>
          </c:dPt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Mthly!$C$2:$C$13</c:f>
              <c:numCache>
                <c:formatCode>_(* #,##0_);_(* \(#,##0\);_(* "-"??_);_(@_)</c:formatCode>
                <c:ptCount val="12"/>
                <c:pt idx="0">
                  <c:v>27.55</c:v>
                </c:pt>
                <c:pt idx="1">
                  <c:v>36.6</c:v>
                </c:pt>
                <c:pt idx="2">
                  <c:v>22.2</c:v>
                </c:pt>
                <c:pt idx="3">
                  <c:v>27.8</c:v>
                </c:pt>
                <c:pt idx="4">
                  <c:v>16.8</c:v>
                </c:pt>
                <c:pt idx="5">
                  <c:v>23.75</c:v>
                </c:pt>
                <c:pt idx="6">
                  <c:v>15.3</c:v>
                </c:pt>
                <c:pt idx="7">
                  <c:v>36</c:v>
                </c:pt>
                <c:pt idx="8">
                  <c:v>23.75</c:v>
                </c:pt>
                <c:pt idx="9">
                  <c:v>15.6</c:v>
                </c:pt>
                <c:pt idx="10">
                  <c:v>41</c:v>
                </c:pt>
                <c:pt idx="11">
                  <c:v>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3-44CC-9F15-53F6C7017A3B}"/>
            </c:ext>
          </c:extLst>
        </c:ser>
        <c:ser>
          <c:idx val="0"/>
          <c:order val="2"/>
          <c:tx>
            <c:strRef>
              <c:f>Mthly!$D$1</c:f>
              <c:strCache>
                <c:ptCount val="1"/>
                <c:pt idx="0">
                  <c:v>'17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CE9-4CA4-B699-A200A17EBF7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CE9-4CA4-B699-A200A17EBF7D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CE9-4CA4-B699-A200A17EBF7D}"/>
              </c:ext>
            </c:extLst>
          </c:dPt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Mthly!$D$2:$D$13</c:f>
              <c:numCache>
                <c:formatCode>_(* #,##0.00_);_(* \(#,##0.00\);_(* "-"??_);_(@_)</c:formatCode>
                <c:ptCount val="12"/>
                <c:pt idx="0">
                  <c:v>28.1</c:v>
                </c:pt>
                <c:pt idx="1">
                  <c:v>47</c:v>
                </c:pt>
                <c:pt idx="2">
                  <c:v>26.25</c:v>
                </c:pt>
                <c:pt idx="3">
                  <c:v>12.75</c:v>
                </c:pt>
                <c:pt idx="4">
                  <c:v>87</c:v>
                </c:pt>
                <c:pt idx="5">
                  <c:v>60.3</c:v>
                </c:pt>
                <c:pt idx="6">
                  <c:v>17.399999999999999</c:v>
                </c:pt>
                <c:pt idx="7">
                  <c:v>50</c:v>
                </c:pt>
                <c:pt idx="8">
                  <c:v>61.5</c:v>
                </c:pt>
                <c:pt idx="9">
                  <c:v>17.399999999999999</c:v>
                </c:pt>
                <c:pt idx="10">
                  <c:v>50</c:v>
                </c:pt>
                <c:pt idx="11">
                  <c:v>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3-44CC-9F15-53F6C7017A3B}"/>
            </c:ext>
          </c:extLst>
        </c:ser>
        <c:ser>
          <c:idx val="3"/>
          <c:order val="3"/>
          <c:tx>
            <c:strRef>
              <c:f>Mthly!$E$1</c:f>
              <c:strCache>
                <c:ptCount val="1"/>
                <c:pt idx="0">
                  <c:v>'18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Mthly!$E$2:$E$13</c:f>
              <c:numCache>
                <c:formatCode>_(* #,##0.00_);_(* \(#,##0.00\);_(* "-"??_);_(@_)</c:formatCode>
                <c:ptCount val="12"/>
                <c:pt idx="0">
                  <c:v>30.15</c:v>
                </c:pt>
                <c:pt idx="1">
                  <c:v>50</c:v>
                </c:pt>
                <c:pt idx="2">
                  <c:v>48.75</c:v>
                </c:pt>
                <c:pt idx="3">
                  <c:v>32.145000000000003</c:v>
                </c:pt>
                <c:pt idx="4">
                  <c:v>50</c:v>
                </c:pt>
                <c:pt idx="5">
                  <c:v>49.096500000000006</c:v>
                </c:pt>
                <c:pt idx="6">
                  <c:v>32.145000000000003</c:v>
                </c:pt>
                <c:pt idx="7">
                  <c:v>50</c:v>
                </c:pt>
                <c:pt idx="8">
                  <c:v>51.328500000000005</c:v>
                </c:pt>
                <c:pt idx="9">
                  <c:v>32.145000000000003</c:v>
                </c:pt>
                <c:pt idx="10">
                  <c:v>50</c:v>
                </c:pt>
                <c:pt idx="11">
                  <c:v>51.328500000000005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A-463C-A1D5-5C63D9E67F66}"/>
            </c:ext>
          </c:extLst>
        </c:ser>
        <c:ser>
          <c:idx val="4"/>
          <c:order val="4"/>
          <c:tx>
            <c:strRef>
              <c:f>Mthly!$F$1</c:f>
              <c:strCache>
                <c:ptCount val="1"/>
                <c:pt idx="0">
                  <c:v>'19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Mthly!$F$2:$F$13</c:f>
              <c:numCache>
                <c:formatCode>_(* #,##0.00_);_(* \(#,##0.00\);_(* "-"??_);_(@_)</c:formatCode>
                <c:ptCount val="12"/>
                <c:pt idx="0">
                  <c:v>32.145000000000003</c:v>
                </c:pt>
                <c:pt idx="1">
                  <c:v>50</c:v>
                </c:pt>
                <c:pt idx="2">
                  <c:v>51.328500000000005</c:v>
                </c:pt>
                <c:pt idx="3">
                  <c:v>34.319100000000006</c:v>
                </c:pt>
                <c:pt idx="4">
                  <c:v>50</c:v>
                </c:pt>
                <c:pt idx="5">
                  <c:v>51.923325000000006</c:v>
                </c:pt>
                <c:pt idx="6">
                  <c:v>34.319100000000006</c:v>
                </c:pt>
                <c:pt idx="7">
                  <c:v>50</c:v>
                </c:pt>
                <c:pt idx="8">
                  <c:v>54.289245000000008</c:v>
                </c:pt>
                <c:pt idx="9">
                  <c:v>34.319100000000006</c:v>
                </c:pt>
                <c:pt idx="10">
                  <c:v>50</c:v>
                </c:pt>
                <c:pt idx="11">
                  <c:v>54.289245000000008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B-4183-BA0A-3915364080D6}"/>
            </c:ext>
          </c:extLst>
        </c:ser>
        <c:ser>
          <c:idx val="5"/>
          <c:order val="5"/>
          <c:tx>
            <c:strRef>
              <c:f>Mthly!$G$1</c:f>
              <c:strCache>
                <c:ptCount val="1"/>
                <c:pt idx="0">
                  <c:v>'20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Mthly!$G$2:$G$13</c:f>
              <c:numCache>
                <c:formatCode>_(* #,##0.00_);_(* \(#,##0.00\);_(* "-"??_);_(@_)</c:formatCode>
                <c:ptCount val="12"/>
                <c:pt idx="0">
                  <c:v>34.319100000000006</c:v>
                </c:pt>
                <c:pt idx="1">
                  <c:v>50</c:v>
                </c:pt>
                <c:pt idx="2">
                  <c:v>54.289245000000008</c:v>
                </c:pt>
                <c:pt idx="3">
                  <c:v>36.689802000000007</c:v>
                </c:pt>
                <c:pt idx="4">
                  <c:v>50</c:v>
                </c:pt>
                <c:pt idx="5">
                  <c:v>54.913811250000009</c:v>
                </c:pt>
                <c:pt idx="6">
                  <c:v>36.689802000000007</c:v>
                </c:pt>
                <c:pt idx="7">
                  <c:v>50</c:v>
                </c:pt>
                <c:pt idx="8">
                  <c:v>57.42168645000001</c:v>
                </c:pt>
                <c:pt idx="9">
                  <c:v>36.689802000000007</c:v>
                </c:pt>
                <c:pt idx="10">
                  <c:v>50</c:v>
                </c:pt>
                <c:pt idx="11">
                  <c:v>57.42168645000001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B-4183-BA0A-3915364080D6}"/>
            </c:ext>
          </c:extLst>
        </c:ser>
        <c:ser>
          <c:idx val="6"/>
          <c:order val="6"/>
          <c:tx>
            <c:strRef>
              <c:f>Mthly!$H$1</c:f>
              <c:strCache>
                <c:ptCount val="1"/>
                <c:pt idx="0">
                  <c:v>'21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Mthly!$A$2:$A$13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Mthly!$H$2:$H$13</c:f>
              <c:numCache>
                <c:formatCode>_(* #,##0.00_);_(* \(#,##0.00\);_(* "-"??_);_(@_)</c:formatCode>
                <c:ptCount val="12"/>
                <c:pt idx="0">
                  <c:v>36.689802000000007</c:v>
                </c:pt>
                <c:pt idx="1">
                  <c:v>50</c:v>
                </c:pt>
                <c:pt idx="2">
                  <c:v>57.42168645000001</c:v>
                </c:pt>
                <c:pt idx="3">
                  <c:v>39.276350040000011</c:v>
                </c:pt>
                <c:pt idx="4">
                  <c:v>50</c:v>
                </c:pt>
                <c:pt idx="5">
                  <c:v>58.077481012500009</c:v>
                </c:pt>
                <c:pt idx="6">
                  <c:v>39.276350040000011</c:v>
                </c:pt>
                <c:pt idx="7">
                  <c:v>50</c:v>
                </c:pt>
                <c:pt idx="8">
                  <c:v>60.73582872450001</c:v>
                </c:pt>
                <c:pt idx="9">
                  <c:v>39.276350040000011</c:v>
                </c:pt>
                <c:pt idx="10">
                  <c:v>50</c:v>
                </c:pt>
                <c:pt idx="11">
                  <c:v>60.73582872450001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EB-4183-BA0A-391536408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119552"/>
        <c:axId val="148118376"/>
      </c:barChart>
      <c:catAx>
        <c:axId val="1481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18376"/>
        <c:crosses val="autoZero"/>
        <c:auto val="1"/>
        <c:lblAlgn val="ctr"/>
        <c:lblOffset val="100"/>
        <c:noMultiLvlLbl val="0"/>
      </c:catAx>
      <c:valAx>
        <c:axId val="14811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Qtrly!$B$1</c:f>
              <c:strCache>
                <c:ptCount val="1"/>
                <c:pt idx="0">
                  <c:v>'15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Qtrly!$B$2:$B$5</c:f>
            </c:numRef>
          </c:val>
          <c:extLst>
            <c:ext xmlns:c16="http://schemas.microsoft.com/office/drawing/2014/chart" uri="{C3380CC4-5D6E-409C-BE32-E72D297353CC}">
              <c16:uniqueId val="{00000000-B642-483D-8FB6-FB387D52FC08}"/>
            </c:ext>
          </c:extLst>
        </c:ser>
        <c:ser>
          <c:idx val="1"/>
          <c:order val="1"/>
          <c:tx>
            <c:strRef>
              <c:f>Qtrly!$C$1</c:f>
              <c:strCache>
                <c:ptCount val="1"/>
                <c:pt idx="0">
                  <c:v>'16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9586-4F28-9F54-CC3D1BF40F92}"/>
              </c:ext>
            </c:extLst>
          </c:dPt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Qtrly!$C$2:$C$5</c:f>
              <c:numCache>
                <c:formatCode>_(* #,##0_);_(* \(#,##0\);_(* "-"??_);_(@_)</c:formatCode>
                <c:ptCount val="4"/>
                <c:pt idx="0">
                  <c:v>86.35</c:v>
                </c:pt>
                <c:pt idx="1">
                  <c:v>80.349999999999994</c:v>
                </c:pt>
                <c:pt idx="2">
                  <c:v>75.05</c:v>
                </c:pt>
                <c:pt idx="3">
                  <c:v>82.85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2-483D-8FB6-FB387D52FC08}"/>
            </c:ext>
          </c:extLst>
        </c:ser>
        <c:ser>
          <c:idx val="2"/>
          <c:order val="2"/>
          <c:tx>
            <c:strRef>
              <c:f>Qtrly!$D$1</c:f>
              <c:strCache>
                <c:ptCount val="1"/>
                <c:pt idx="0">
                  <c:v>'17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7CAF-4A90-B118-5AA32A4FA04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7CAF-4A90-B118-5AA32A4FA040}"/>
              </c:ext>
            </c:extLst>
          </c:dPt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Qtrly!$D$2:$D$5</c:f>
              <c:numCache>
                <c:formatCode>_(* #,##0.00_);_(* \(#,##0.00\);_(* "-"??_);_(@_)</c:formatCode>
                <c:ptCount val="4"/>
                <c:pt idx="0">
                  <c:v>101.35</c:v>
                </c:pt>
                <c:pt idx="1">
                  <c:v>160.05000000000001</c:v>
                </c:pt>
                <c:pt idx="2">
                  <c:v>128.9</c:v>
                </c:pt>
                <c:pt idx="3">
                  <c:v>116.15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2-483D-8FB6-FB387D52FC08}"/>
            </c:ext>
          </c:extLst>
        </c:ser>
        <c:ser>
          <c:idx val="3"/>
          <c:order val="3"/>
          <c:tx>
            <c:strRef>
              <c:f>Qtrly!$E$1</c:f>
              <c:strCache>
                <c:ptCount val="1"/>
                <c:pt idx="0">
                  <c:v>'18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Qtrly!$E$2:$E$5</c:f>
              <c:numCache>
                <c:formatCode>_(* #,##0.00_);_(* \(#,##0.00\);_(* "-"??_);_(@_)</c:formatCode>
                <c:ptCount val="4"/>
                <c:pt idx="0">
                  <c:v>128.9</c:v>
                </c:pt>
                <c:pt idx="1">
                  <c:v>131.24150000000003</c:v>
                </c:pt>
                <c:pt idx="2">
                  <c:v>133.4735</c:v>
                </c:pt>
                <c:pt idx="3">
                  <c:v>133.4735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86-4F28-9F54-CC3D1BF40F92}"/>
            </c:ext>
          </c:extLst>
        </c:ser>
        <c:ser>
          <c:idx val="4"/>
          <c:order val="4"/>
          <c:tx>
            <c:strRef>
              <c:f>Qtrly!$F$1</c:f>
              <c:strCache>
                <c:ptCount val="1"/>
                <c:pt idx="0">
                  <c:v>'19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Qtrly!$F$2:$F$5</c:f>
              <c:numCache>
                <c:formatCode>_(* #,##0.00_);_(* \(#,##0.00\);_(* "-"??_);_(@_)</c:formatCode>
                <c:ptCount val="4"/>
                <c:pt idx="0">
                  <c:v>133.4735</c:v>
                </c:pt>
                <c:pt idx="1">
                  <c:v>136.24242500000003</c:v>
                </c:pt>
                <c:pt idx="2">
                  <c:v>138.60834500000001</c:v>
                </c:pt>
                <c:pt idx="3">
                  <c:v>138.60834500000001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6-4099-B06B-C123ED0A5C40}"/>
            </c:ext>
          </c:extLst>
        </c:ser>
        <c:ser>
          <c:idx val="5"/>
          <c:order val="5"/>
          <c:tx>
            <c:strRef>
              <c:f>Qtrly!$G$1</c:f>
              <c:strCache>
                <c:ptCount val="1"/>
                <c:pt idx="0">
                  <c:v>'20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Qtrly!$G$2:$G$5</c:f>
              <c:numCache>
                <c:formatCode>_(* #,##0.00_);_(* \(#,##0.00\);_(* "-"??_);_(@_)</c:formatCode>
                <c:ptCount val="4"/>
                <c:pt idx="0">
                  <c:v>138.60834500000001</c:v>
                </c:pt>
                <c:pt idx="1">
                  <c:v>141.60361325000002</c:v>
                </c:pt>
                <c:pt idx="2">
                  <c:v>144.11148845000002</c:v>
                </c:pt>
                <c:pt idx="3">
                  <c:v>144.11148845000002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6-4099-B06B-C123ED0A5C40}"/>
            </c:ext>
          </c:extLst>
        </c:ser>
        <c:ser>
          <c:idx val="6"/>
          <c:order val="6"/>
          <c:tx>
            <c:strRef>
              <c:f>Qtrly!$H$1</c:f>
              <c:strCache>
                <c:ptCount val="1"/>
                <c:pt idx="0">
                  <c:v>'21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Qtrly!$H$2:$H$5</c:f>
              <c:numCache>
                <c:formatCode>_(* #,##0.00_);_(* \(#,##0.00\);_(* "-"??_);_(@_)</c:formatCode>
                <c:ptCount val="4"/>
                <c:pt idx="0">
                  <c:v>144.11148845000002</c:v>
                </c:pt>
                <c:pt idx="1">
                  <c:v>147.35383105250003</c:v>
                </c:pt>
                <c:pt idx="2">
                  <c:v>150.01217876450002</c:v>
                </c:pt>
                <c:pt idx="3">
                  <c:v>150.01217876450002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6-4099-B06B-C123ED0A5C40}"/>
            </c:ext>
          </c:extLst>
        </c:ser>
        <c:ser>
          <c:idx val="7"/>
          <c:order val="7"/>
          <c:tx>
            <c:strRef>
              <c:f>Qtrly!$I$1</c:f>
              <c:strCache>
                <c:ptCount val="1"/>
                <c:pt idx="0">
                  <c:v>'22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Qtrly!$I$2:$I$5</c:f>
              <c:numCache>
                <c:formatCode>_(* #,##0.00_);_(* \(#,##0.00\);_(* "-"??_);_(@_)</c:formatCode>
                <c:ptCount val="4"/>
                <c:pt idx="0">
                  <c:v>150.01217876450002</c:v>
                </c:pt>
                <c:pt idx="1">
                  <c:v>153.52431725592504</c:v>
                </c:pt>
                <c:pt idx="2">
                  <c:v>156.34216583064503</c:v>
                </c:pt>
                <c:pt idx="3">
                  <c:v>156.34216583064503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CAF-4A90-B118-5AA32A4FA040}"/>
            </c:ext>
          </c:extLst>
        </c:ser>
        <c:ser>
          <c:idx val="8"/>
          <c:order val="8"/>
          <c:tx>
            <c:strRef>
              <c:f>Qtrly!$J$1</c:f>
              <c:strCache>
                <c:ptCount val="1"/>
                <c:pt idx="0">
                  <c:v>'23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Qtrly!$J$2:$J$5</c:f>
              <c:numCache>
                <c:formatCode>_(* #,##0.00_);_(* \(#,##0.00\);_(* "-"??_);_(@_)</c:formatCode>
                <c:ptCount val="4"/>
                <c:pt idx="0">
                  <c:v>156.34216583064503</c:v>
                </c:pt>
                <c:pt idx="1">
                  <c:v>160.14900734061729</c:v>
                </c:pt>
                <c:pt idx="2">
                  <c:v>163.13592682982048</c:v>
                </c:pt>
                <c:pt idx="3">
                  <c:v>163.13592682982048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CAF-4A90-B118-5AA32A4FA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117200"/>
        <c:axId val="148118768"/>
      </c:barChart>
      <c:catAx>
        <c:axId val="1481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18768"/>
        <c:crosses val="autoZero"/>
        <c:auto val="1"/>
        <c:lblAlgn val="ctr"/>
        <c:lblOffset val="100"/>
        <c:noMultiLvlLbl val="0"/>
      </c:catAx>
      <c:valAx>
        <c:axId val="1481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1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Dividends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Yrly!$B$1</c:f>
              <c:strCache>
                <c:ptCount val="1"/>
                <c:pt idx="0">
                  <c:v>Dividends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6615-42CD-9C8C-4CC21FD2236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6615-42CD-9C8C-4CC21FD2236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6615-42CD-9C8C-4CC21FD2236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6615-42CD-9C8C-4CC21FD2236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C-6615-42CD-9C8C-4CC21FD2236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182-4DE5-B6BE-442B39F1316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182-4DE5-B6BE-442B39F1316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182-4DE5-B6BE-442B39F1316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182-4DE5-B6BE-442B39F1316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182-4DE5-B6BE-442B39F1316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CC-47BC-87B7-055AD4EED6A9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C2CC-47BC-87B7-055AD4EED6A9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2CC-47BC-87B7-055AD4EED6A9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C2CC-47BC-87B7-055AD4EED6A9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C2CC-47BC-87B7-055AD4EED6A9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C2CC-47BC-87B7-055AD4EED6A9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C2CC-47BC-87B7-055AD4EED6A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C2CC-47BC-87B7-055AD4EED6A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C2CC-47BC-87B7-055AD4EED6A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C-C2CC-47BC-87B7-055AD4EED6A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E6E1-4189-A2C8-07F43A5AB61D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F-E6E1-4189-A2C8-07F43A5AB61D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30-E6E1-4189-A2C8-07F43A5AB61D}"/>
              </c:ext>
            </c:extLst>
          </c:dPt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Yrly!$A$2:$A$24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</c:numCache>
            </c:numRef>
          </c:cat>
          <c:val>
            <c:numRef>
              <c:f>Yrly!$B$2:$B$24</c:f>
              <c:numCache>
                <c:formatCode>_(* #,##0.00_);_(* \(#,##0.00\);_(* "-"??_);_(@_)</c:formatCode>
                <c:ptCount val="23"/>
                <c:pt idx="0">
                  <c:v>81.45</c:v>
                </c:pt>
                <c:pt idx="1">
                  <c:v>324.60000000000002</c:v>
                </c:pt>
                <c:pt idx="2">
                  <c:v>589.78333333333342</c:v>
                </c:pt>
                <c:pt idx="3">
                  <c:v>1510.6798333333331</c:v>
                </c:pt>
                <c:pt idx="4">
                  <c:v>3207.7130092500006</c:v>
                </c:pt>
                <c:pt idx="5">
                  <c:v>5092.4181749856007</c:v>
                </c:pt>
                <c:pt idx="6">
                  <c:v>7303.5721879329512</c:v>
                </c:pt>
                <c:pt idx="7">
                  <c:v>9854.7524472455116</c:v>
                </c:pt>
                <c:pt idx="8">
                  <c:v>12512.906713195693</c:v>
                </c:pt>
                <c:pt idx="9">
                  <c:v>16039.068317383306</c:v>
                </c:pt>
                <c:pt idx="10">
                  <c:v>19882.584465947806</c:v>
                </c:pt>
                <c:pt idx="11">
                  <c:v>24072.017067883109</c:v>
                </c:pt>
                <c:pt idx="12">
                  <c:v>28638.49860399259</c:v>
                </c:pt>
                <c:pt idx="13">
                  <c:v>33615.963478351929</c:v>
                </c:pt>
                <c:pt idx="14">
                  <c:v>39041.400191403605</c:v>
                </c:pt>
                <c:pt idx="15">
                  <c:v>44955.126208629932</c:v>
                </c:pt>
                <c:pt idx="16">
                  <c:v>51401.087567406626</c:v>
                </c:pt>
                <c:pt idx="17">
                  <c:v>58427.185448473225</c:v>
                </c:pt>
                <c:pt idx="18">
                  <c:v>66085.632138835819</c:v>
                </c:pt>
                <c:pt idx="19">
                  <c:v>74433.339031331037</c:v>
                </c:pt>
                <c:pt idx="20">
                  <c:v>83532.339544150833</c:v>
                </c:pt>
                <c:pt idx="21">
                  <c:v>93450.250103124417</c:v>
                </c:pt>
                <c:pt idx="22">
                  <c:v>104260.77261240562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82-4DE5-B6BE-442B39F1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2489640"/>
        <c:axId val="312492384"/>
      </c:barChart>
      <c:catAx>
        <c:axId val="312489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92384"/>
        <c:crosses val="autoZero"/>
        <c:auto val="1"/>
        <c:lblAlgn val="ctr"/>
        <c:lblOffset val="100"/>
        <c:noMultiLvlLbl val="0"/>
      </c:catAx>
      <c:valAx>
        <c:axId val="3124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Dividends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'Yrly-6.2017'!$B$1</c:f>
              <c:strCache>
                <c:ptCount val="1"/>
                <c:pt idx="0">
                  <c:v>Dividends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5DF-4BCD-B5DB-5BFFA59592F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5DF-4BCD-B5DB-5BFFA59592F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DF-4BCD-B5DB-5BFFA59592F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DF-4BCD-B5DB-5BFFA59592F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5DF-4BCD-B5DB-5BFFA59592F2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5DF-4BCD-B5DB-5BFFA59592F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5DF-4BCD-B5DB-5BFFA59592F2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5DF-4BCD-B5DB-5BFFA59592F2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5DF-4BCD-B5DB-5BFFA59592F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85DF-4BCD-B5DB-5BFFA59592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85DF-4BCD-B5DB-5BFFA59592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85DF-4BCD-B5DB-5BFFA59592F2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85DF-4BCD-B5DB-5BFFA59592F2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85DF-4BCD-B5DB-5BFFA59592F2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85DF-4BCD-B5DB-5BFFA59592F2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85DF-4BCD-B5DB-5BFFA59592F2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85DF-4BCD-B5DB-5BFFA59592F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3-85DF-4BCD-B5DB-5BFFA59592F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5-85DF-4BCD-B5DB-5BFFA59592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7-85DF-4BCD-B5DB-5BFFA59592F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9-85DF-4BCD-B5DB-5BFFA59592F2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85DF-4BCD-B5DB-5BFFA59592F2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D-85DF-4BCD-B5DB-5BFFA59592F2}"/>
              </c:ext>
            </c:extLst>
          </c:dPt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'Yrly-6.2017'!$A$2:$A$24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</c:numCache>
            </c:numRef>
          </c:cat>
          <c:val>
            <c:numRef>
              <c:f>'Yrly-6.2017'!$B$2:$B$24</c:f>
              <c:numCache>
                <c:formatCode>_(* #,##0.00_);_(* \(#,##0.00\);_(* "-"??_);_(@_)</c:formatCode>
                <c:ptCount val="23"/>
                <c:pt idx="0">
                  <c:v>81.45</c:v>
                </c:pt>
                <c:pt idx="1">
                  <c:v>324.60000000000002</c:v>
                </c:pt>
                <c:pt idx="2">
                  <c:v>591.70333333333338</c:v>
                </c:pt>
                <c:pt idx="3">
                  <c:v>1514.7118333333333</c:v>
                </c:pt>
                <c:pt idx="4">
                  <c:v>3212.2765190100004</c:v>
                </c:pt>
                <c:pt idx="5">
                  <c:v>5097.4287985893125</c:v>
                </c:pt>
                <c:pt idx="6">
                  <c:v>7309.0638923052329</c:v>
                </c:pt>
                <c:pt idx="7">
                  <c:v>9860.7615314985906</c:v>
                </c:pt>
                <c:pt idx="8">
                  <c:v>12519.471960680297</c:v>
                </c:pt>
                <c:pt idx="9">
                  <c:v>16046.224437141525</c:v>
                </c:pt>
                <c:pt idx="10">
                  <c:v>19890.384636484265</c:v>
                </c:pt>
                <c:pt idx="11">
                  <c:v>24080.519253767852</c:v>
                </c:pt>
                <c:pt idx="12">
                  <c:v>28647.765986606959</c:v>
                </c:pt>
                <c:pt idx="13">
                  <c:v>33626.064925401588</c:v>
                </c:pt>
                <c:pt idx="14">
                  <c:v>39052.410768687732</c:v>
                </c:pt>
                <c:pt idx="15">
                  <c:v>44967.127737869625</c:v>
                </c:pt>
                <c:pt idx="16">
                  <c:v>51414.169234277892</c:v>
                </c:pt>
                <c:pt idx="17">
                  <c:v>58441.444465362903</c:v>
                </c:pt>
                <c:pt idx="18">
                  <c:v>66101.174467245568</c:v>
                </c:pt>
                <c:pt idx="19">
                  <c:v>74450.280169297665</c:v>
                </c:pt>
                <c:pt idx="20">
                  <c:v>83550.805384534455</c:v>
                </c:pt>
                <c:pt idx="21">
                  <c:v>93470.377869142554</c:v>
                </c:pt>
                <c:pt idx="22">
                  <c:v>104282.71187736539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5DF-4BCD-B5DB-5BFFA5959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2489640"/>
        <c:axId val="312492384"/>
      </c:barChart>
      <c:catAx>
        <c:axId val="312489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92384"/>
        <c:crosses val="autoZero"/>
        <c:auto val="1"/>
        <c:lblAlgn val="ctr"/>
        <c:lblOffset val="100"/>
        <c:noMultiLvlLbl val="0"/>
      </c:catAx>
      <c:valAx>
        <c:axId val="3124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219073</xdr:colOff>
      <xdr:row>0</xdr:row>
      <xdr:rowOff>95250</xdr:rowOff>
    </xdr:from>
    <xdr:to>
      <xdr:col>23</xdr:col>
      <xdr:colOff>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266699</xdr:colOff>
      <xdr:row>1</xdr:row>
      <xdr:rowOff>23812</xdr:rowOff>
    </xdr:from>
    <xdr:to>
      <xdr:col>21</xdr:col>
      <xdr:colOff>152400</xdr:colOff>
      <xdr:row>18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179914</xdr:colOff>
      <xdr:row>0</xdr:row>
      <xdr:rowOff>91544</xdr:rowOff>
    </xdr:from>
    <xdr:to>
      <xdr:col>22</xdr:col>
      <xdr:colOff>95250</xdr:colOff>
      <xdr:row>24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179914</xdr:colOff>
      <xdr:row>0</xdr:row>
      <xdr:rowOff>91544</xdr:rowOff>
    </xdr:from>
    <xdr:to>
      <xdr:col>22</xdr:col>
      <xdr:colOff>95250</xdr:colOff>
      <xdr:row>24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F9B091-AB06-41C2-982C-BCD0ED36A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9" sqref="E9"/>
    </sheetView>
  </sheetViews>
  <sheetFormatPr defaultColWidth="9.140625" defaultRowHeight="15" x14ac:dyDescent="0.25"/>
  <cols>
    <col min="1" max="1" width="15.42578125" style="14" bestFit="1" customWidth="1"/>
    <col min="2" max="2" width="3.5703125" style="14" customWidth="1"/>
    <col min="3" max="3" width="10.5703125" style="2" bestFit="1" customWidth="1"/>
    <col min="4" max="4" width="9.42578125" style="14" customWidth="1"/>
    <col min="5" max="5" width="10.5703125" style="2" bestFit="1" customWidth="1"/>
    <col min="6" max="6" width="9.5703125" style="14" customWidth="1"/>
    <col min="7" max="7" width="2.85546875" style="14" customWidth="1"/>
    <col min="8" max="8" width="10.28515625" style="14" bestFit="1" customWidth="1"/>
    <col min="9" max="16384" width="9.140625" style="14"/>
  </cols>
  <sheetData>
    <row r="1" spans="1:9" x14ac:dyDescent="0.25">
      <c r="A1" s="3" t="s">
        <v>38</v>
      </c>
      <c r="C1" s="13" t="s">
        <v>53</v>
      </c>
      <c r="E1" s="13" t="s">
        <v>54</v>
      </c>
    </row>
    <row r="2" spans="1:9" x14ac:dyDescent="0.25">
      <c r="A2" s="14" t="s">
        <v>64</v>
      </c>
      <c r="C2" s="2">
        <v>3706.28</v>
      </c>
      <c r="D2" s="6">
        <f>C2/$C$9</f>
        <v>0.33165341704279855</v>
      </c>
      <c r="E2" s="2">
        <v>3309</v>
      </c>
      <c r="F2" s="6">
        <f>E2/$E$9</f>
        <v>0.28485932649579127</v>
      </c>
      <c r="G2" s="2"/>
      <c r="H2" s="15">
        <f>E2-C2</f>
        <v>-397.2800000000002</v>
      </c>
      <c r="I2" s="6">
        <f>H2/C2</f>
        <v>-0.10719103791402705</v>
      </c>
    </row>
    <row r="3" spans="1:9" x14ac:dyDescent="0.25">
      <c r="A3" s="14" t="s">
        <v>61</v>
      </c>
      <c r="C3" s="2">
        <v>2687.22</v>
      </c>
      <c r="D3" s="6">
        <f>C3/$C$9</f>
        <v>0.24046367121365603</v>
      </c>
      <c r="E3" s="2">
        <v>3089</v>
      </c>
      <c r="F3" s="6">
        <f>E3/$E$9</f>
        <v>0.26592035646585044</v>
      </c>
      <c r="G3" s="2"/>
      <c r="H3" s="15">
        <f>E3-C3</f>
        <v>401.7800000000002</v>
      </c>
      <c r="I3" s="6">
        <f>H3/C3</f>
        <v>0.14951511227216238</v>
      </c>
    </row>
    <row r="4" spans="1:9" x14ac:dyDescent="0.25">
      <c r="A4" s="14" t="s">
        <v>85</v>
      </c>
      <c r="C4" s="2">
        <v>1876.65</v>
      </c>
      <c r="D4" s="6">
        <f>C4/$C$9</f>
        <v>0.16793048153225551</v>
      </c>
      <c r="E4" s="2">
        <v>1889.4</v>
      </c>
      <c r="F4" s="6">
        <f>E4/$E$9</f>
        <v>0.16265131806622787</v>
      </c>
      <c r="G4" s="2"/>
      <c r="H4" s="15">
        <f>E4-C4</f>
        <v>12.75</v>
      </c>
      <c r="I4" s="6">
        <f>H4/C4</f>
        <v>6.7940212612900642E-3</v>
      </c>
    </row>
    <row r="5" spans="1:9" x14ac:dyDescent="0.25">
      <c r="A5" s="14" t="s">
        <v>58</v>
      </c>
      <c r="C5" s="2">
        <v>1440.63</v>
      </c>
      <c r="D5" s="6">
        <f>C5/$C$9</f>
        <v>0.128913590498928</v>
      </c>
      <c r="E5" s="2">
        <v>1876.25</v>
      </c>
      <c r="F5" s="6">
        <f>E5/$E$9</f>
        <v>0.16151928417580186</v>
      </c>
      <c r="G5" s="2"/>
      <c r="H5" s="15">
        <f>E5-C5</f>
        <v>435.61999999999989</v>
      </c>
      <c r="I5" s="6">
        <f>H5/C5</f>
        <v>0.30238159694022743</v>
      </c>
    </row>
    <row r="6" spans="1:9" x14ac:dyDescent="0.25">
      <c r="A6" s="14" t="s">
        <v>45</v>
      </c>
      <c r="C6" s="2">
        <v>1237.72</v>
      </c>
      <c r="D6" s="6">
        <f>C6/$C$9</f>
        <v>0.11075635606112129</v>
      </c>
      <c r="E6" s="2">
        <v>1225.95</v>
      </c>
      <c r="F6" s="6">
        <f>E6/$E$9</f>
        <v>0.10553741049184505</v>
      </c>
      <c r="G6" s="2"/>
      <c r="H6" s="15">
        <f>E6-C6</f>
        <v>-11.769999999999982</v>
      </c>
      <c r="I6" s="6">
        <f>H6/C6</f>
        <v>-9.5094205474582152E-3</v>
      </c>
    </row>
    <row r="7" spans="1:9" x14ac:dyDescent="0.25">
      <c r="D7" s="6"/>
      <c r="F7" s="6"/>
      <c r="G7" s="2"/>
      <c r="H7" s="15"/>
      <c r="I7" s="6"/>
    </row>
    <row r="8" spans="1:9" x14ac:dyDescent="0.25">
      <c r="A8" s="14" t="s">
        <v>39</v>
      </c>
      <c r="C8" s="2">
        <v>226.66</v>
      </c>
      <c r="D8" s="6">
        <f>C8/$C$9</f>
        <v>2.0282483651240791E-2</v>
      </c>
      <c r="E8" s="2">
        <v>226.66</v>
      </c>
      <c r="F8" s="6">
        <f>E8/$E$9</f>
        <v>1.9512304304483544E-2</v>
      </c>
      <c r="G8" s="2"/>
      <c r="H8" s="15">
        <f>E8-C8</f>
        <v>0</v>
      </c>
      <c r="I8" s="6"/>
    </row>
    <row r="9" spans="1:9" s="3" customFormat="1" ht="15.75" thickBot="1" x14ac:dyDescent="0.3">
      <c r="C9" s="36">
        <f>SUM(C2:C8)</f>
        <v>11175.159999999998</v>
      </c>
      <c r="E9" s="36">
        <f>SUM(E2:E8)</f>
        <v>11616.26</v>
      </c>
      <c r="F9" s="37"/>
      <c r="G9" s="37"/>
      <c r="H9" s="38">
        <f>SUM(H2:H8)</f>
        <v>441.09999999999991</v>
      </c>
      <c r="I9" s="39">
        <f>H9/C9</f>
        <v>3.947147065455886E-2</v>
      </c>
    </row>
    <row r="10" spans="1:9" ht="15.75" thickTop="1" x14ac:dyDescent="0.25"/>
  </sheetData>
  <sortState ref="A2:I5">
    <sortCondition descending="1" ref="E2:E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7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0.85546875" style="16" bestFit="1" customWidth="1"/>
    <col min="22" max="22" width="7.2851562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24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'18'!M3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82.302000000000007</v>
      </c>
      <c r="C4" s="61">
        <f>'18'!L4</f>
        <v>19.14</v>
      </c>
      <c r="D4" s="25">
        <v>0</v>
      </c>
      <c r="E4" s="24">
        <v>0</v>
      </c>
      <c r="F4" s="62">
        <f>C4*1.1</f>
        <v>21.054000000000002</v>
      </c>
      <c r="G4" s="25">
        <v>0</v>
      </c>
      <c r="H4" s="24">
        <v>0</v>
      </c>
      <c r="I4" s="61">
        <f>F4</f>
        <v>21.054000000000002</v>
      </c>
      <c r="J4" s="25">
        <v>0</v>
      </c>
      <c r="K4" s="25">
        <v>0</v>
      </c>
      <c r="L4" s="61">
        <f>I4</f>
        <v>21.054000000000002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'18'!L5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162.45984000000001</v>
      </c>
      <c r="C6" s="25">
        <v>0</v>
      </c>
      <c r="D6" s="24">
        <v>0</v>
      </c>
      <c r="E6" s="61">
        <f>'18'!N6</f>
        <v>39.432000000000002</v>
      </c>
      <c r="F6" s="25">
        <v>0</v>
      </c>
      <c r="G6" s="24">
        <v>0</v>
      </c>
      <c r="H6" s="61">
        <f>E6</f>
        <v>39.432000000000002</v>
      </c>
      <c r="I6" s="25">
        <v>0</v>
      </c>
      <c r="J6" s="24">
        <v>0</v>
      </c>
      <c r="K6" s="62">
        <f>H6*1.06</f>
        <v>41.797920000000005</v>
      </c>
      <c r="L6" s="25">
        <v>0</v>
      </c>
      <c r="M6" s="24">
        <v>0</v>
      </c>
      <c r="N6" s="61">
        <f>K6</f>
        <v>41.797920000000005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52.800300000000007</v>
      </c>
      <c r="C7" s="61">
        <f>'18'!L7</f>
        <v>13.005000000000001</v>
      </c>
      <c r="D7" s="24">
        <v>0</v>
      </c>
      <c r="E7" s="24">
        <v>0</v>
      </c>
      <c r="F7" s="62">
        <f>C7*1.02</f>
        <v>13.2651</v>
      </c>
      <c r="G7" s="24">
        <v>0</v>
      </c>
      <c r="H7" s="25">
        <v>0</v>
      </c>
      <c r="I7" s="61">
        <f>F7</f>
        <v>13.2651</v>
      </c>
      <c r="J7" s="24">
        <v>0</v>
      </c>
      <c r="K7" s="25">
        <v>0</v>
      </c>
      <c r="L7" s="61">
        <f>I7</f>
        <v>13.2651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49.370475000000006</v>
      </c>
      <c r="C8" s="24">
        <v>0</v>
      </c>
      <c r="D8" s="24">
        <v>0</v>
      </c>
      <c r="E8" s="61">
        <f>'18'!N8</f>
        <v>11.896500000000001</v>
      </c>
      <c r="F8" s="24">
        <v>0</v>
      </c>
      <c r="G8" s="24">
        <v>0</v>
      </c>
      <c r="H8" s="62">
        <f>E8*1.05</f>
        <v>12.491325000000002</v>
      </c>
      <c r="I8" s="24">
        <v>0</v>
      </c>
      <c r="J8" s="24">
        <v>0</v>
      </c>
      <c r="K8" s="61">
        <f>H8</f>
        <v>12.491325000000002</v>
      </c>
      <c r="L8" s="24">
        <v>0</v>
      </c>
      <c r="M8" s="24">
        <v>0</v>
      </c>
      <c r="N8" s="61">
        <f>K8</f>
        <v>12.491325000000002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226.66</v>
      </c>
    </row>
    <row r="10" spans="1:25" x14ac:dyDescent="0.2">
      <c r="B10" s="28">
        <f t="shared" ref="B10:N10" si="6">SUM(B3:B9)</f>
        <v>546.93261500000006</v>
      </c>
      <c r="C10" s="29">
        <f t="shared" si="6"/>
        <v>32.145000000000003</v>
      </c>
      <c r="D10" s="29">
        <f t="shared" si="6"/>
        <v>50</v>
      </c>
      <c r="E10" s="29">
        <f t="shared" si="6"/>
        <v>51.328500000000005</v>
      </c>
      <c r="F10" s="29">
        <f t="shared" si="6"/>
        <v>34.319100000000006</v>
      </c>
      <c r="G10" s="29">
        <f t="shared" si="6"/>
        <v>50</v>
      </c>
      <c r="H10" s="29">
        <f t="shared" si="6"/>
        <v>51.923325000000006</v>
      </c>
      <c r="I10" s="29">
        <f t="shared" si="6"/>
        <v>34.319100000000006</v>
      </c>
      <c r="J10" s="29">
        <f t="shared" si="6"/>
        <v>50</v>
      </c>
      <c r="K10" s="29">
        <f t="shared" si="6"/>
        <v>54.289245000000008</v>
      </c>
      <c r="L10" s="29">
        <f t="shared" si="6"/>
        <v>34.319100000000006</v>
      </c>
      <c r="M10" s="29">
        <f t="shared" si="6"/>
        <v>50</v>
      </c>
      <c r="N10" s="29">
        <f t="shared" si="6"/>
        <v>54.289245000000008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11638.51</v>
      </c>
      <c r="V10" s="30">
        <f>B10/U10</f>
        <v>4.6993353530649547E-2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2018</v>
      </c>
      <c r="B12" s="24">
        <f>SUM(C12:N12)</f>
        <v>527.08849999999995</v>
      </c>
      <c r="C12" s="61">
        <f>'18'!C10</f>
        <v>30.15</v>
      </c>
      <c r="D12" s="61">
        <f>'18'!D10</f>
        <v>50</v>
      </c>
      <c r="E12" s="61">
        <f>'18'!E10</f>
        <v>48.75</v>
      </c>
      <c r="F12" s="61">
        <f>'18'!F10</f>
        <v>32.145000000000003</v>
      </c>
      <c r="G12" s="61">
        <f>'18'!G10</f>
        <v>50</v>
      </c>
      <c r="H12" s="61">
        <f>'18'!H10</f>
        <v>49.096500000000006</v>
      </c>
      <c r="I12" s="61">
        <f>'18'!I10</f>
        <v>32.145000000000003</v>
      </c>
      <c r="J12" s="61">
        <f>'18'!J10</f>
        <v>50</v>
      </c>
      <c r="K12" s="61">
        <f>'18'!K10</f>
        <v>51.328500000000005</v>
      </c>
      <c r="L12" s="61">
        <f>'18'!L10</f>
        <v>32.145000000000003</v>
      </c>
      <c r="M12" s="61">
        <f>'18'!M10</f>
        <v>50</v>
      </c>
      <c r="N12" s="61">
        <f>'18'!N10</f>
        <v>51.328500000000005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3.7648544788968272E-2</v>
      </c>
      <c r="C13" s="27">
        <f t="shared" si="7"/>
        <v>6.6169154228855873E-2</v>
      </c>
      <c r="D13" s="27">
        <f t="shared" si="7"/>
        <v>0</v>
      </c>
      <c r="E13" s="27">
        <f t="shared" si="7"/>
        <v>5.2892307692307801E-2</v>
      </c>
      <c r="F13" s="27">
        <f t="shared" si="7"/>
        <v>6.7634157722818555E-2</v>
      </c>
      <c r="G13" s="27">
        <f t="shared" si="7"/>
        <v>0</v>
      </c>
      <c r="H13" s="27">
        <f t="shared" si="7"/>
        <v>5.7576914851364132E-2</v>
      </c>
      <c r="I13" s="27">
        <f t="shared" si="7"/>
        <v>6.7634157722818555E-2</v>
      </c>
      <c r="J13" s="27">
        <f t="shared" si="7"/>
        <v>0</v>
      </c>
      <c r="K13" s="27">
        <f t="shared" si="7"/>
        <v>5.7682281773283897E-2</v>
      </c>
      <c r="L13" s="27">
        <f t="shared" si="7"/>
        <v>6.7634157722818555E-2</v>
      </c>
      <c r="M13" s="27">
        <f t="shared" si="7"/>
        <v>0</v>
      </c>
      <c r="N13" s="27">
        <f t="shared" si="7"/>
        <v>5.7682281773283897E-2</v>
      </c>
      <c r="T13" s="34" t="s">
        <v>57</v>
      </c>
      <c r="U13" s="27">
        <f t="shared" ref="U13" si="8">U12/U10</f>
        <v>0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  <ignoredErrors>
    <ignoredError sqref="T10 V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7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'19'!M3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90.532200000000017</v>
      </c>
      <c r="C4" s="61">
        <f>'19'!L4</f>
        <v>21.054000000000002</v>
      </c>
      <c r="D4" s="25">
        <v>0</v>
      </c>
      <c r="E4" s="24">
        <v>0</v>
      </c>
      <c r="F4" s="62">
        <f>C4*1.1</f>
        <v>23.159400000000005</v>
      </c>
      <c r="G4" s="25">
        <v>0</v>
      </c>
      <c r="H4" s="24">
        <v>0</v>
      </c>
      <c r="I4" s="61">
        <f>F4</f>
        <v>23.159400000000005</v>
      </c>
      <c r="J4" s="25">
        <v>0</v>
      </c>
      <c r="K4" s="25">
        <v>0</v>
      </c>
      <c r="L4" s="61">
        <f>I4</f>
        <v>23.159400000000005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'19'!L5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172.20743040000002</v>
      </c>
      <c r="C6" s="25">
        <v>0</v>
      </c>
      <c r="D6" s="24">
        <v>0</v>
      </c>
      <c r="E6" s="61">
        <f>'19'!N6</f>
        <v>41.797920000000005</v>
      </c>
      <c r="F6" s="25">
        <v>0</v>
      </c>
      <c r="G6" s="24">
        <v>0</v>
      </c>
      <c r="H6" s="61">
        <f>E6</f>
        <v>41.797920000000005</v>
      </c>
      <c r="I6" s="25">
        <v>0</v>
      </c>
      <c r="J6" s="24">
        <v>0</v>
      </c>
      <c r="K6" s="62">
        <f>H6*1.06</f>
        <v>44.305795200000006</v>
      </c>
      <c r="L6" s="25">
        <v>0</v>
      </c>
      <c r="M6" s="24">
        <v>0</v>
      </c>
      <c r="N6" s="61">
        <f>K6</f>
        <v>44.305795200000006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53.856306000000004</v>
      </c>
      <c r="C7" s="61">
        <f>'19'!L7</f>
        <v>13.2651</v>
      </c>
      <c r="D7" s="24">
        <v>0</v>
      </c>
      <c r="E7" s="24">
        <v>0</v>
      </c>
      <c r="F7" s="62">
        <f>C7*1.02</f>
        <v>13.530402</v>
      </c>
      <c r="G7" s="24">
        <v>0</v>
      </c>
      <c r="H7" s="25">
        <v>0</v>
      </c>
      <c r="I7" s="61">
        <f>F7</f>
        <v>13.530402</v>
      </c>
      <c r="J7" s="24">
        <v>0</v>
      </c>
      <c r="K7" s="25">
        <v>0</v>
      </c>
      <c r="L7" s="61">
        <f>I7</f>
        <v>13.530402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51.838998750000009</v>
      </c>
      <c r="C8" s="24">
        <v>0</v>
      </c>
      <c r="D8" s="24">
        <v>0</v>
      </c>
      <c r="E8" s="61">
        <f>'19'!N8</f>
        <v>12.491325000000002</v>
      </c>
      <c r="F8" s="24">
        <v>0</v>
      </c>
      <c r="G8" s="24">
        <v>0</v>
      </c>
      <c r="H8" s="62">
        <f>E8*1.05</f>
        <v>13.115891250000002</v>
      </c>
      <c r="I8" s="24">
        <v>0</v>
      </c>
      <c r="J8" s="24">
        <v>0</v>
      </c>
      <c r="K8" s="61">
        <f>H8</f>
        <v>13.115891250000002</v>
      </c>
      <c r="L8" s="24">
        <v>0</v>
      </c>
      <c r="M8" s="24">
        <v>0</v>
      </c>
      <c r="N8" s="61">
        <f>K8</f>
        <v>13.115891250000002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568.43493515</v>
      </c>
      <c r="C10" s="29">
        <f t="shared" si="6"/>
        <v>34.319100000000006</v>
      </c>
      <c r="D10" s="29">
        <f t="shared" si="6"/>
        <v>50</v>
      </c>
      <c r="E10" s="29">
        <f t="shared" si="6"/>
        <v>54.289245000000008</v>
      </c>
      <c r="F10" s="29">
        <f t="shared" si="6"/>
        <v>36.689802000000007</v>
      </c>
      <c r="G10" s="29">
        <f t="shared" si="6"/>
        <v>50</v>
      </c>
      <c r="H10" s="29">
        <f t="shared" si="6"/>
        <v>54.913811250000009</v>
      </c>
      <c r="I10" s="29">
        <f t="shared" si="6"/>
        <v>36.689802000000007</v>
      </c>
      <c r="J10" s="29">
        <f t="shared" si="6"/>
        <v>50</v>
      </c>
      <c r="K10" s="29">
        <f t="shared" si="6"/>
        <v>57.42168645000001</v>
      </c>
      <c r="L10" s="29">
        <f t="shared" si="6"/>
        <v>36.689802000000007</v>
      </c>
      <c r="M10" s="29">
        <f t="shared" si="6"/>
        <v>50</v>
      </c>
      <c r="N10" s="29">
        <f t="shared" si="6"/>
        <v>57.42168645000001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4.5554387437731207E-2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2019</v>
      </c>
      <c r="B12" s="24">
        <f>SUM(C12:N12)</f>
        <v>546.93261499999994</v>
      </c>
      <c r="C12" s="61">
        <f>'19'!C10</f>
        <v>32.145000000000003</v>
      </c>
      <c r="D12" s="61">
        <f>'19'!D10</f>
        <v>50</v>
      </c>
      <c r="E12" s="61">
        <f>'19'!E10</f>
        <v>51.328500000000005</v>
      </c>
      <c r="F12" s="61">
        <f>'19'!F10</f>
        <v>34.319100000000006</v>
      </c>
      <c r="G12" s="61">
        <f>'19'!G10</f>
        <v>50</v>
      </c>
      <c r="H12" s="61">
        <f>'19'!H10</f>
        <v>51.923325000000006</v>
      </c>
      <c r="I12" s="61">
        <f>'19'!I10</f>
        <v>34.319100000000006</v>
      </c>
      <c r="J12" s="61">
        <f>'19'!J10</f>
        <v>50</v>
      </c>
      <c r="K12" s="61">
        <f>'19'!K10</f>
        <v>54.289245000000008</v>
      </c>
      <c r="L12" s="61">
        <f>'19'!L10</f>
        <v>34.319100000000006</v>
      </c>
      <c r="M12" s="61">
        <f>'19'!M10</f>
        <v>50</v>
      </c>
      <c r="N12" s="61">
        <f>'19'!N10</f>
        <v>54.289245000000008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3.9314386380121184E-2</v>
      </c>
      <c r="C13" s="27">
        <f t="shared" si="7"/>
        <v>6.7634157722818555E-2</v>
      </c>
      <c r="D13" s="27">
        <f t="shared" si="7"/>
        <v>0</v>
      </c>
      <c r="E13" s="27">
        <f t="shared" si="7"/>
        <v>5.7682281773283897E-2</v>
      </c>
      <c r="F13" s="27">
        <f t="shared" si="7"/>
        <v>6.9078210092922046E-2</v>
      </c>
      <c r="G13" s="27">
        <f t="shared" si="7"/>
        <v>0</v>
      </c>
      <c r="H13" s="27">
        <f t="shared" si="7"/>
        <v>5.7594274827353666E-2</v>
      </c>
      <c r="I13" s="27">
        <f t="shared" si="7"/>
        <v>6.9078210092922046E-2</v>
      </c>
      <c r="J13" s="27">
        <f t="shared" si="7"/>
        <v>0</v>
      </c>
      <c r="K13" s="27">
        <f t="shared" si="7"/>
        <v>5.769911609564659E-2</v>
      </c>
      <c r="L13" s="27">
        <f t="shared" si="7"/>
        <v>6.9078210092922046E-2</v>
      </c>
      <c r="M13" s="27">
        <f t="shared" si="7"/>
        <v>0</v>
      </c>
      <c r="N13" s="27">
        <f t="shared" si="7"/>
        <v>5.769911609564659E-2</v>
      </c>
      <c r="T13" s="34" t="s">
        <v>57</v>
      </c>
      <c r="U13" s="27">
        <f t="shared" ref="U13" si="8">U12/U10</f>
        <v>0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  <ignoredErrors>
    <ignoredError sqref="T1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72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'20'!M3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99.585420000000013</v>
      </c>
      <c r="C4" s="61">
        <f>'20'!L4</f>
        <v>23.159400000000005</v>
      </c>
      <c r="D4" s="25">
        <v>0</v>
      </c>
      <c r="E4" s="24">
        <v>0</v>
      </c>
      <c r="F4" s="62">
        <f>C4*1.1</f>
        <v>25.475340000000006</v>
      </c>
      <c r="G4" s="25">
        <v>0</v>
      </c>
      <c r="H4" s="24">
        <v>0</v>
      </c>
      <c r="I4" s="61">
        <f>F4</f>
        <v>25.475340000000006</v>
      </c>
      <c r="J4" s="25">
        <v>0</v>
      </c>
      <c r="K4" s="25">
        <v>0</v>
      </c>
      <c r="L4" s="61">
        <f>I4</f>
        <v>25.475340000000006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'20'!L5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182.53987622400001</v>
      </c>
      <c r="C6" s="25">
        <v>0</v>
      </c>
      <c r="D6" s="24">
        <v>0</v>
      </c>
      <c r="E6" s="61">
        <f>'20'!N6</f>
        <v>44.305795200000006</v>
      </c>
      <c r="F6" s="25">
        <v>0</v>
      </c>
      <c r="G6" s="24">
        <v>0</v>
      </c>
      <c r="H6" s="61">
        <f>E6</f>
        <v>44.305795200000006</v>
      </c>
      <c r="I6" s="25">
        <v>0</v>
      </c>
      <c r="J6" s="24">
        <v>0</v>
      </c>
      <c r="K6" s="62">
        <f>H6*1.06</f>
        <v>46.964142912000007</v>
      </c>
      <c r="L6" s="25">
        <v>0</v>
      </c>
      <c r="M6" s="24">
        <v>0</v>
      </c>
      <c r="N6" s="61">
        <f>K6</f>
        <v>46.964142912000007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54.933432120000006</v>
      </c>
      <c r="C7" s="61">
        <f>'20'!L7</f>
        <v>13.530402</v>
      </c>
      <c r="D7" s="24">
        <v>0</v>
      </c>
      <c r="E7" s="24">
        <v>0</v>
      </c>
      <c r="F7" s="62">
        <f>C7*1.02</f>
        <v>13.801010040000001</v>
      </c>
      <c r="G7" s="24">
        <v>0</v>
      </c>
      <c r="H7" s="25">
        <v>0</v>
      </c>
      <c r="I7" s="61">
        <f>F7</f>
        <v>13.801010040000001</v>
      </c>
      <c r="J7" s="24">
        <v>0</v>
      </c>
      <c r="K7" s="25">
        <v>0</v>
      </c>
      <c r="L7" s="61">
        <f>I7</f>
        <v>13.801010040000001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54.430948687500013</v>
      </c>
      <c r="C8" s="24">
        <v>0</v>
      </c>
      <c r="D8" s="24">
        <v>0</v>
      </c>
      <c r="E8" s="61">
        <f>'20'!N8</f>
        <v>13.115891250000002</v>
      </c>
      <c r="F8" s="24">
        <v>0</v>
      </c>
      <c r="G8" s="24">
        <v>0</v>
      </c>
      <c r="H8" s="62">
        <f>E8*1.05</f>
        <v>13.771685812500003</v>
      </c>
      <c r="I8" s="24">
        <v>0</v>
      </c>
      <c r="J8" s="24">
        <v>0</v>
      </c>
      <c r="K8" s="61">
        <f>H8</f>
        <v>13.771685812500003</v>
      </c>
      <c r="L8" s="24">
        <v>0</v>
      </c>
      <c r="M8" s="24">
        <v>0</v>
      </c>
      <c r="N8" s="61">
        <f>K8</f>
        <v>13.771685812500003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591.48967703150004</v>
      </c>
      <c r="C10" s="29">
        <f t="shared" si="6"/>
        <v>36.689802000000007</v>
      </c>
      <c r="D10" s="29">
        <f t="shared" si="6"/>
        <v>50</v>
      </c>
      <c r="E10" s="29">
        <f t="shared" si="6"/>
        <v>57.42168645000001</v>
      </c>
      <c r="F10" s="29">
        <f t="shared" si="6"/>
        <v>39.276350040000011</v>
      </c>
      <c r="G10" s="29">
        <f t="shared" si="6"/>
        <v>50</v>
      </c>
      <c r="H10" s="29">
        <f t="shared" si="6"/>
        <v>58.077481012500009</v>
      </c>
      <c r="I10" s="29">
        <f t="shared" si="6"/>
        <v>39.276350040000011</v>
      </c>
      <c r="J10" s="29">
        <f t="shared" si="6"/>
        <v>50</v>
      </c>
      <c r="K10" s="29">
        <f t="shared" si="6"/>
        <v>60.73582872450001</v>
      </c>
      <c r="L10" s="29">
        <f t="shared" si="6"/>
        <v>39.276350040000011</v>
      </c>
      <c r="M10" s="29">
        <f t="shared" si="6"/>
        <v>50</v>
      </c>
      <c r="N10" s="29">
        <f t="shared" si="6"/>
        <v>60.73582872450001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4.7401994928058307E-2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2020</v>
      </c>
      <c r="B12" s="24">
        <f>SUM(C12:N12)</f>
        <v>568.43493515000011</v>
      </c>
      <c r="C12" s="61">
        <f>'20'!C10</f>
        <v>34.319100000000006</v>
      </c>
      <c r="D12" s="61">
        <f>'20'!D10</f>
        <v>50</v>
      </c>
      <c r="E12" s="61">
        <f>'20'!E10</f>
        <v>54.289245000000008</v>
      </c>
      <c r="F12" s="61">
        <f>'20'!F10</f>
        <v>36.689802000000007</v>
      </c>
      <c r="G12" s="61">
        <f>'20'!G10</f>
        <v>50</v>
      </c>
      <c r="H12" s="61">
        <f>'20'!H10</f>
        <v>54.913811250000009</v>
      </c>
      <c r="I12" s="61">
        <f>'20'!I10</f>
        <v>36.689802000000007</v>
      </c>
      <c r="J12" s="61">
        <f>'20'!J10</f>
        <v>50</v>
      </c>
      <c r="K12" s="61">
        <f>'20'!K10</f>
        <v>57.42168645000001</v>
      </c>
      <c r="L12" s="61">
        <f>'20'!L10</f>
        <v>36.689802000000007</v>
      </c>
      <c r="M12" s="61">
        <f>'20'!M10</f>
        <v>50</v>
      </c>
      <c r="N12" s="61">
        <f>'20'!N10</f>
        <v>57.42168645000001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4.0558277572113291E-2</v>
      </c>
      <c r="C13" s="27">
        <f t="shared" si="7"/>
        <v>6.9078210092922046E-2</v>
      </c>
      <c r="D13" s="27">
        <f t="shared" si="7"/>
        <v>0</v>
      </c>
      <c r="E13" s="27">
        <f t="shared" si="7"/>
        <v>5.769911609564659E-2</v>
      </c>
      <c r="F13" s="27">
        <f t="shared" si="7"/>
        <v>7.0497737763752538E-2</v>
      </c>
      <c r="G13" s="27">
        <f t="shared" si="7"/>
        <v>0</v>
      </c>
      <c r="H13" s="27">
        <f t="shared" si="7"/>
        <v>5.7611549635429811E-2</v>
      </c>
      <c r="I13" s="27">
        <f t="shared" si="7"/>
        <v>7.0497737763752538E-2</v>
      </c>
      <c r="J13" s="27">
        <f t="shared" si="7"/>
        <v>0</v>
      </c>
      <c r="K13" s="27">
        <f t="shared" si="7"/>
        <v>5.7715864499831307E-2</v>
      </c>
      <c r="L13" s="27">
        <f t="shared" si="7"/>
        <v>7.0497737763752538E-2</v>
      </c>
      <c r="M13" s="27">
        <f t="shared" si="7"/>
        <v>0</v>
      </c>
      <c r="N13" s="27">
        <f t="shared" si="7"/>
        <v>5.7715864499831307E-2</v>
      </c>
      <c r="T13" s="34" t="s">
        <v>57</v>
      </c>
      <c r="U13" s="27">
        <f t="shared" ref="U13" si="8">U12/U10</f>
        <v>0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  <ignoredErrors>
    <ignoredError sqref="T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'21'!M3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109.54396200000002</v>
      </c>
      <c r="C4" s="61">
        <f>'21'!L4</f>
        <v>25.475340000000006</v>
      </c>
      <c r="D4" s="25">
        <v>0</v>
      </c>
      <c r="E4" s="24">
        <v>0</v>
      </c>
      <c r="F4" s="62">
        <f>C4*1.1</f>
        <v>28.022874000000009</v>
      </c>
      <c r="G4" s="25">
        <v>0</v>
      </c>
      <c r="H4" s="24">
        <v>0</v>
      </c>
      <c r="I4" s="61">
        <f>F4</f>
        <v>28.022874000000009</v>
      </c>
      <c r="J4" s="25">
        <v>0</v>
      </c>
      <c r="K4" s="25">
        <v>0</v>
      </c>
      <c r="L4" s="61">
        <f>I4</f>
        <v>28.022874000000009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'21'!L5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193.49226879744003</v>
      </c>
      <c r="C6" s="25">
        <v>0</v>
      </c>
      <c r="D6" s="24">
        <v>0</v>
      </c>
      <c r="E6" s="61">
        <f>'21'!N6</f>
        <v>46.964142912000007</v>
      </c>
      <c r="F6" s="25">
        <v>0</v>
      </c>
      <c r="G6" s="24">
        <v>0</v>
      </c>
      <c r="H6" s="61">
        <f>E6</f>
        <v>46.964142912000007</v>
      </c>
      <c r="I6" s="25">
        <v>0</v>
      </c>
      <c r="J6" s="24">
        <v>0</v>
      </c>
      <c r="K6" s="62">
        <f>H6*1.06</f>
        <v>49.78199148672001</v>
      </c>
      <c r="L6" s="25">
        <v>0</v>
      </c>
      <c r="M6" s="24">
        <v>0</v>
      </c>
      <c r="N6" s="61">
        <f>K6</f>
        <v>49.78199148672001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56.032100762399999</v>
      </c>
      <c r="C7" s="61">
        <f>'21'!L7</f>
        <v>13.801010040000001</v>
      </c>
      <c r="D7" s="24">
        <v>0</v>
      </c>
      <c r="E7" s="24">
        <v>0</v>
      </c>
      <c r="F7" s="62">
        <f>C7*1.02</f>
        <v>14.077030240800001</v>
      </c>
      <c r="G7" s="24">
        <v>0</v>
      </c>
      <c r="H7" s="25">
        <v>0</v>
      </c>
      <c r="I7" s="61">
        <f>F7</f>
        <v>14.077030240800001</v>
      </c>
      <c r="J7" s="24">
        <v>0</v>
      </c>
      <c r="K7" s="25">
        <v>0</v>
      </c>
      <c r="L7" s="61">
        <f>I7</f>
        <v>14.077030240800001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57.152496121875018</v>
      </c>
      <c r="C8" s="24">
        <v>0</v>
      </c>
      <c r="D8" s="24">
        <v>0</v>
      </c>
      <c r="E8" s="61">
        <f>'21'!N8</f>
        <v>13.771685812500003</v>
      </c>
      <c r="F8" s="24">
        <v>0</v>
      </c>
      <c r="G8" s="24">
        <v>0</v>
      </c>
      <c r="H8" s="62">
        <f>E8*1.05</f>
        <v>14.460270103125003</v>
      </c>
      <c r="I8" s="24">
        <v>0</v>
      </c>
      <c r="J8" s="24">
        <v>0</v>
      </c>
      <c r="K8" s="61">
        <f>H8</f>
        <v>14.460270103125003</v>
      </c>
      <c r="L8" s="24">
        <v>0</v>
      </c>
      <c r="M8" s="24">
        <v>0</v>
      </c>
      <c r="N8" s="61">
        <f>K8</f>
        <v>14.460270103125003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616.22082768171515</v>
      </c>
      <c r="C10" s="29">
        <f t="shared" si="6"/>
        <v>39.276350040000011</v>
      </c>
      <c r="D10" s="29">
        <f t="shared" si="6"/>
        <v>50</v>
      </c>
      <c r="E10" s="29">
        <f t="shared" si="6"/>
        <v>60.73582872450001</v>
      </c>
      <c r="F10" s="29">
        <f t="shared" si="6"/>
        <v>42.099904240800008</v>
      </c>
      <c r="G10" s="29">
        <f t="shared" si="6"/>
        <v>50</v>
      </c>
      <c r="H10" s="29">
        <f t="shared" si="6"/>
        <v>61.424413015125012</v>
      </c>
      <c r="I10" s="29">
        <f t="shared" si="6"/>
        <v>42.099904240800008</v>
      </c>
      <c r="J10" s="29">
        <f t="shared" si="6"/>
        <v>50</v>
      </c>
      <c r="K10" s="29">
        <f t="shared" si="6"/>
        <v>64.242261589845015</v>
      </c>
      <c r="L10" s="29">
        <f t="shared" si="6"/>
        <v>42.099904240800008</v>
      </c>
      <c r="M10" s="29">
        <f t="shared" si="6"/>
        <v>50</v>
      </c>
      <c r="N10" s="29">
        <f t="shared" si="6"/>
        <v>64.242261589845015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4.9383949851718137E-2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2021</v>
      </c>
      <c r="B12" s="24">
        <f>SUM(C12:N12)</f>
        <v>591.48967703150015</v>
      </c>
      <c r="C12" s="61">
        <f>'21'!C10</f>
        <v>36.689802000000007</v>
      </c>
      <c r="D12" s="61">
        <f>'21'!D10</f>
        <v>50</v>
      </c>
      <c r="E12" s="61">
        <f>'21'!E10</f>
        <v>57.42168645000001</v>
      </c>
      <c r="F12" s="61">
        <f>'21'!F10</f>
        <v>39.276350040000011</v>
      </c>
      <c r="G12" s="61">
        <f>'21'!G10</f>
        <v>50</v>
      </c>
      <c r="H12" s="61">
        <f>'21'!H10</f>
        <v>58.077481012500009</v>
      </c>
      <c r="I12" s="61">
        <f>'21'!I10</f>
        <v>39.276350040000011</v>
      </c>
      <c r="J12" s="61">
        <f>'21'!J10</f>
        <v>50</v>
      </c>
      <c r="K12" s="61">
        <f>'21'!K10</f>
        <v>60.73582872450001</v>
      </c>
      <c r="L12" s="61">
        <f>'21'!L10</f>
        <v>39.276350040000011</v>
      </c>
      <c r="M12" s="61">
        <f>'21'!M10</f>
        <v>50</v>
      </c>
      <c r="N12" s="61">
        <f>'21'!N10</f>
        <v>60.73582872450001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4.1811635283869761E-2</v>
      </c>
      <c r="C13" s="27">
        <f t="shared" si="7"/>
        <v>7.0497737763752538E-2</v>
      </c>
      <c r="D13" s="27">
        <f t="shared" si="7"/>
        <v>0</v>
      </c>
      <c r="E13" s="27">
        <f t="shared" si="7"/>
        <v>5.7715864499831307E-2</v>
      </c>
      <c r="F13" s="27">
        <f t="shared" si="7"/>
        <v>7.1889424499079452E-2</v>
      </c>
      <c r="G13" s="27">
        <f t="shared" si="7"/>
        <v>0</v>
      </c>
      <c r="H13" s="27">
        <f t="shared" si="7"/>
        <v>5.7628739130484039E-2</v>
      </c>
      <c r="I13" s="27">
        <f t="shared" si="7"/>
        <v>7.1889424499079452E-2</v>
      </c>
      <c r="J13" s="27">
        <f t="shared" si="7"/>
        <v>0</v>
      </c>
      <c r="K13" s="27">
        <f t="shared" si="7"/>
        <v>5.7732526895291333E-2</v>
      </c>
      <c r="L13" s="27">
        <f t="shared" si="7"/>
        <v>7.1889424499079452E-2</v>
      </c>
      <c r="M13" s="27">
        <f t="shared" si="7"/>
        <v>0</v>
      </c>
      <c r="N13" s="27">
        <f t="shared" si="7"/>
        <v>5.7732526895291333E-2</v>
      </c>
      <c r="T13" s="34" t="s">
        <v>57</v>
      </c>
      <c r="U13" s="27">
        <f t="shared" ref="U13" si="8">U12/U10</f>
        <v>0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K6" sqref="K6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'22'!M3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120.49835820000004</v>
      </c>
      <c r="C4" s="61">
        <f>'22'!L4</f>
        <v>28.022874000000009</v>
      </c>
      <c r="D4" s="25">
        <v>0</v>
      </c>
      <c r="E4" s="24">
        <v>0</v>
      </c>
      <c r="F4" s="62">
        <f>C4*1.1</f>
        <v>30.825161400000013</v>
      </c>
      <c r="G4" s="25">
        <v>0</v>
      </c>
      <c r="H4" s="24">
        <v>0</v>
      </c>
      <c r="I4" s="61">
        <f>F4</f>
        <v>30.825161400000013</v>
      </c>
      <c r="J4" s="25">
        <v>0</v>
      </c>
      <c r="K4" s="25">
        <v>0</v>
      </c>
      <c r="L4" s="61">
        <f>I4</f>
        <v>30.825161400000013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205.10180492528644</v>
      </c>
      <c r="C6" s="25">
        <v>0</v>
      </c>
      <c r="D6" s="24">
        <v>0</v>
      </c>
      <c r="E6" s="61">
        <f>'22'!N6</f>
        <v>49.78199148672001</v>
      </c>
      <c r="F6" s="25">
        <v>0</v>
      </c>
      <c r="G6" s="24">
        <v>0</v>
      </c>
      <c r="H6" s="61">
        <f>E6</f>
        <v>49.78199148672001</v>
      </c>
      <c r="I6" s="25">
        <v>0</v>
      </c>
      <c r="J6" s="24">
        <v>0</v>
      </c>
      <c r="K6" s="62">
        <f>H6*1.06</f>
        <v>52.768910975923212</v>
      </c>
      <c r="L6" s="25">
        <v>0</v>
      </c>
      <c r="M6" s="24">
        <v>0</v>
      </c>
      <c r="N6" s="61">
        <f>K6</f>
        <v>52.768910975923212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57.152742777648001</v>
      </c>
      <c r="C7" s="61">
        <f>'22'!L7</f>
        <v>14.077030240800001</v>
      </c>
      <c r="D7" s="24">
        <v>0</v>
      </c>
      <c r="E7" s="24">
        <v>0</v>
      </c>
      <c r="F7" s="62">
        <f>C7*1.02</f>
        <v>14.358570845616001</v>
      </c>
      <c r="G7" s="24">
        <v>0</v>
      </c>
      <c r="H7" s="25">
        <v>0</v>
      </c>
      <c r="I7" s="61">
        <f>F7</f>
        <v>14.358570845616001</v>
      </c>
      <c r="J7" s="24">
        <v>0</v>
      </c>
      <c r="K7" s="25">
        <v>0</v>
      </c>
      <c r="L7" s="61">
        <f>I7</f>
        <v>14.358570845616001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60.010120927968771</v>
      </c>
      <c r="C8" s="24">
        <v>0</v>
      </c>
      <c r="D8" s="24">
        <v>0</v>
      </c>
      <c r="E8" s="61">
        <f>'22'!N8</f>
        <v>14.460270103125003</v>
      </c>
      <c r="F8" s="24">
        <v>0</v>
      </c>
      <c r="G8" s="24">
        <v>0</v>
      </c>
      <c r="H8" s="62">
        <f>E8*1.05</f>
        <v>15.183283608281254</v>
      </c>
      <c r="I8" s="24">
        <v>0</v>
      </c>
      <c r="J8" s="24">
        <v>0</v>
      </c>
      <c r="K8" s="61">
        <f>H8</f>
        <v>15.183283608281254</v>
      </c>
      <c r="L8" s="24">
        <v>0</v>
      </c>
      <c r="M8" s="24">
        <v>0</v>
      </c>
      <c r="N8" s="61">
        <f>K8</f>
        <v>15.183283608281254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642.76302683090319</v>
      </c>
      <c r="C10" s="29">
        <f t="shared" si="6"/>
        <v>42.099904240800008</v>
      </c>
      <c r="D10" s="29">
        <f t="shared" si="6"/>
        <v>50</v>
      </c>
      <c r="E10" s="29">
        <f t="shared" si="6"/>
        <v>64.242261589845015</v>
      </c>
      <c r="F10" s="29">
        <f t="shared" si="6"/>
        <v>45.183732245616014</v>
      </c>
      <c r="G10" s="29">
        <f t="shared" si="6"/>
        <v>50</v>
      </c>
      <c r="H10" s="29">
        <f t="shared" si="6"/>
        <v>64.96527509500126</v>
      </c>
      <c r="I10" s="29">
        <f t="shared" si="6"/>
        <v>45.183732245616014</v>
      </c>
      <c r="J10" s="29">
        <f t="shared" si="6"/>
        <v>50</v>
      </c>
      <c r="K10" s="29">
        <f t="shared" si="6"/>
        <v>67.952194584204463</v>
      </c>
      <c r="L10" s="29">
        <f t="shared" si="6"/>
        <v>45.183732245616014</v>
      </c>
      <c r="M10" s="29">
        <f t="shared" si="6"/>
        <v>50</v>
      </c>
      <c r="N10" s="29">
        <f t="shared" si="6"/>
        <v>67.952194584204463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5.1511042239473059E-2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2022</v>
      </c>
      <c r="B12" s="24">
        <f>SUM(C12:N12)</f>
        <v>616.22082768171515</v>
      </c>
      <c r="C12" s="61">
        <f>'22'!C10</f>
        <v>39.276350040000011</v>
      </c>
      <c r="D12" s="61">
        <f>'22'!D10</f>
        <v>50</v>
      </c>
      <c r="E12" s="61">
        <f>'22'!E10</f>
        <v>60.73582872450001</v>
      </c>
      <c r="F12" s="61">
        <f>'22'!F10</f>
        <v>42.099904240800008</v>
      </c>
      <c r="G12" s="61">
        <f>'22'!G10</f>
        <v>50</v>
      </c>
      <c r="H12" s="61">
        <f>'22'!H10</f>
        <v>61.424413015125012</v>
      </c>
      <c r="I12" s="61">
        <f>'22'!I10</f>
        <v>42.099904240800008</v>
      </c>
      <c r="J12" s="61">
        <f>'22'!J10</f>
        <v>50</v>
      </c>
      <c r="K12" s="61">
        <f>'22'!K10</f>
        <v>64.242261589845015</v>
      </c>
      <c r="L12" s="61">
        <f>'22'!L10</f>
        <v>42.099904240800008</v>
      </c>
      <c r="M12" s="61">
        <f>'22'!M10</f>
        <v>50</v>
      </c>
      <c r="N12" s="61">
        <f>'22'!N10</f>
        <v>64.242261589845015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4.3072544706160718E-2</v>
      </c>
      <c r="C13" s="27">
        <f t="shared" si="7"/>
        <v>7.1889424499079452E-2</v>
      </c>
      <c r="D13" s="27">
        <f t="shared" si="7"/>
        <v>0</v>
      </c>
      <c r="E13" s="27">
        <f t="shared" si="7"/>
        <v>5.7732526895291333E-2</v>
      </c>
      <c r="F13" s="27">
        <f t="shared" si="7"/>
        <v>7.3250237985752836E-2</v>
      </c>
      <c r="G13" s="27">
        <f t="shared" si="7"/>
        <v>0</v>
      </c>
      <c r="H13" s="27">
        <f t="shared" si="7"/>
        <v>5.7645843176463964E-2</v>
      </c>
      <c r="I13" s="27">
        <f t="shared" si="7"/>
        <v>7.3250237985752836E-2</v>
      </c>
      <c r="J13" s="27">
        <f t="shared" si="7"/>
        <v>0</v>
      </c>
      <c r="K13" s="27">
        <f t="shared" si="7"/>
        <v>5.774910320009484E-2</v>
      </c>
      <c r="L13" s="27">
        <f t="shared" si="7"/>
        <v>7.3250237985752836E-2</v>
      </c>
      <c r="M13" s="27">
        <f t="shared" si="7"/>
        <v>0</v>
      </c>
      <c r="N13" s="27">
        <f t="shared" si="7"/>
        <v>5.774910320009484E-2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'23'!M3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132.54819402000004</v>
      </c>
      <c r="C4" s="61">
        <f>'23'!L4</f>
        <v>30.825161400000013</v>
      </c>
      <c r="D4" s="25">
        <v>0</v>
      </c>
      <c r="E4" s="24">
        <v>0</v>
      </c>
      <c r="F4" s="62">
        <f>C4*1.1</f>
        <v>33.907677540000016</v>
      </c>
      <c r="G4" s="25">
        <v>0</v>
      </c>
      <c r="H4" s="24">
        <v>0</v>
      </c>
      <c r="I4" s="61">
        <f>F4</f>
        <v>33.907677540000016</v>
      </c>
      <c r="J4" s="25">
        <v>0</v>
      </c>
      <c r="K4" s="25">
        <v>0</v>
      </c>
      <c r="L4" s="61">
        <f>I4</f>
        <v>33.907677540000016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>
        <v>0</v>
      </c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217.40791322080364</v>
      </c>
      <c r="C6" s="25">
        <v>0</v>
      </c>
      <c r="D6" s="24">
        <v>0</v>
      </c>
      <c r="E6" s="61">
        <f>'23'!N6</f>
        <v>52.768910975923212</v>
      </c>
      <c r="F6" s="25">
        <v>0</v>
      </c>
      <c r="G6" s="24">
        <v>0</v>
      </c>
      <c r="H6" s="61">
        <f>E6</f>
        <v>52.768910975923212</v>
      </c>
      <c r="I6" s="25">
        <v>0</v>
      </c>
      <c r="J6" s="24">
        <v>0</v>
      </c>
      <c r="K6" s="62">
        <f>H6*1.06</f>
        <v>55.935045634478605</v>
      </c>
      <c r="L6" s="25">
        <v>0</v>
      </c>
      <c r="M6" s="24">
        <v>0</v>
      </c>
      <c r="N6" s="61">
        <f>K6</f>
        <v>55.935045634478605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58.295797633200969</v>
      </c>
      <c r="C7" s="61">
        <f>'23'!L7</f>
        <v>14.358570845616001</v>
      </c>
      <c r="D7" s="24">
        <v>0</v>
      </c>
      <c r="E7" s="24">
        <v>0</v>
      </c>
      <c r="F7" s="62">
        <f>C7*1.02</f>
        <v>14.645742262528321</v>
      </c>
      <c r="G7" s="24">
        <v>0</v>
      </c>
      <c r="H7" s="25">
        <v>0</v>
      </c>
      <c r="I7" s="61">
        <f>F7</f>
        <v>14.645742262528321</v>
      </c>
      <c r="J7" s="24">
        <v>0</v>
      </c>
      <c r="K7" s="25">
        <v>0</v>
      </c>
      <c r="L7" s="61">
        <f>I7</f>
        <v>14.645742262528321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63.010626974367206</v>
      </c>
      <c r="C8" s="24">
        <v>0</v>
      </c>
      <c r="D8" s="24">
        <v>0</v>
      </c>
      <c r="E8" s="61">
        <f>'23'!N8</f>
        <v>15.183283608281254</v>
      </c>
      <c r="F8" s="24">
        <v>0</v>
      </c>
      <c r="G8" s="24">
        <v>0</v>
      </c>
      <c r="H8" s="62">
        <f>E8*1.05</f>
        <v>15.942447788695317</v>
      </c>
      <c r="I8" s="24">
        <v>0</v>
      </c>
      <c r="J8" s="24">
        <v>0</v>
      </c>
      <c r="K8" s="61">
        <f>H8</f>
        <v>15.942447788695317</v>
      </c>
      <c r="L8" s="24">
        <v>0</v>
      </c>
      <c r="M8" s="24">
        <v>0</v>
      </c>
      <c r="N8" s="61">
        <f>K8</f>
        <v>15.942447788695317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671.26253184837196</v>
      </c>
      <c r="C10" s="29">
        <f t="shared" si="6"/>
        <v>45.183732245616014</v>
      </c>
      <c r="D10" s="29">
        <f t="shared" si="6"/>
        <v>50</v>
      </c>
      <c r="E10" s="29">
        <f t="shared" si="6"/>
        <v>67.952194584204463</v>
      </c>
      <c r="F10" s="29">
        <f t="shared" si="6"/>
        <v>48.553419802528339</v>
      </c>
      <c r="G10" s="29">
        <f t="shared" si="6"/>
        <v>50</v>
      </c>
      <c r="H10" s="29">
        <f t="shared" si="6"/>
        <v>68.711358764618524</v>
      </c>
      <c r="I10" s="29">
        <f t="shared" si="6"/>
        <v>48.553419802528339</v>
      </c>
      <c r="J10" s="29">
        <f t="shared" si="6"/>
        <v>50</v>
      </c>
      <c r="K10" s="29">
        <f t="shared" si="6"/>
        <v>71.877493423173917</v>
      </c>
      <c r="L10" s="29">
        <f t="shared" si="6"/>
        <v>48.553419802528339</v>
      </c>
      <c r="M10" s="29">
        <f t="shared" si="6"/>
        <v>50</v>
      </c>
      <c r="N10" s="29">
        <f t="shared" si="6"/>
        <v>71.877493423173917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5.3794993159918765E-2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2023</v>
      </c>
      <c r="B12" s="24">
        <f>SUM(C12:N12)</f>
        <v>642.76302683090319</v>
      </c>
      <c r="C12" s="61">
        <f>'23'!C10</f>
        <v>42.099904240800008</v>
      </c>
      <c r="D12" s="61">
        <f>'23'!D10</f>
        <v>50</v>
      </c>
      <c r="E12" s="61">
        <f>'23'!E10</f>
        <v>64.242261589845015</v>
      </c>
      <c r="F12" s="61">
        <f>'23'!F10</f>
        <v>45.183732245616014</v>
      </c>
      <c r="G12" s="61">
        <f>'23'!G10</f>
        <v>50</v>
      </c>
      <c r="H12" s="61">
        <f>'23'!H10</f>
        <v>64.96527509500126</v>
      </c>
      <c r="I12" s="61">
        <f>'23'!I10</f>
        <v>45.183732245616014</v>
      </c>
      <c r="J12" s="61">
        <f>'23'!J10</f>
        <v>50</v>
      </c>
      <c r="K12" s="61">
        <f>'23'!K10</f>
        <v>67.952194584204463</v>
      </c>
      <c r="L12" s="61">
        <f>'23'!L10</f>
        <v>45.183732245616014</v>
      </c>
      <c r="M12" s="61">
        <f>'23'!M10</f>
        <v>50</v>
      </c>
      <c r="N12" s="61">
        <f>'23'!N10</f>
        <v>67.952194584204463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4.4339054718165002E-2</v>
      </c>
      <c r="C13" s="27">
        <f t="shared" si="7"/>
        <v>7.3250237985752836E-2</v>
      </c>
      <c r="D13" s="27">
        <f t="shared" si="7"/>
        <v>0</v>
      </c>
      <c r="E13" s="27">
        <f t="shared" si="7"/>
        <v>5.774910320009484E-2</v>
      </c>
      <c r="F13" s="27">
        <f t="shared" si="7"/>
        <v>7.4577450543370546E-2</v>
      </c>
      <c r="G13" s="27">
        <f t="shared" si="7"/>
        <v>0</v>
      </c>
      <c r="H13" s="27">
        <f t="shared" si="7"/>
        <v>5.7662861646305956E-2</v>
      </c>
      <c r="I13" s="27">
        <f t="shared" si="7"/>
        <v>7.4577450543370546E-2</v>
      </c>
      <c r="J13" s="27">
        <f t="shared" si="7"/>
        <v>0</v>
      </c>
      <c r="K13" s="27">
        <f t="shared" si="7"/>
        <v>5.7765593340849838E-2</v>
      </c>
      <c r="L13" s="27">
        <f t="shared" si="7"/>
        <v>7.4577450543370546E-2</v>
      </c>
      <c r="M13" s="27">
        <f t="shared" si="7"/>
        <v>0</v>
      </c>
      <c r="N13" s="27">
        <f t="shared" si="7"/>
        <v>5.7765593340849838E-2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'24'!M3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145.80301342200008</v>
      </c>
      <c r="C4" s="61">
        <f>'24'!L4</f>
        <v>33.907677540000016</v>
      </c>
      <c r="D4" s="25">
        <v>0</v>
      </c>
      <c r="E4" s="24">
        <v>0</v>
      </c>
      <c r="F4" s="62">
        <f>C4*1.1</f>
        <v>37.298445294000018</v>
      </c>
      <c r="G4" s="25">
        <v>0</v>
      </c>
      <c r="H4" s="24">
        <v>0</v>
      </c>
      <c r="I4" s="61">
        <f>F4</f>
        <v>37.298445294000018</v>
      </c>
      <c r="J4" s="25">
        <v>0</v>
      </c>
      <c r="K4" s="25">
        <v>0</v>
      </c>
      <c r="L4" s="61">
        <f>I4</f>
        <v>37.298445294000018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230.45238801405188</v>
      </c>
      <c r="C6" s="25">
        <v>0</v>
      </c>
      <c r="D6" s="24">
        <v>0</v>
      </c>
      <c r="E6" s="61">
        <f>'24'!N6</f>
        <v>55.935045634478605</v>
      </c>
      <c r="F6" s="25">
        <v>0</v>
      </c>
      <c r="G6" s="24">
        <v>0</v>
      </c>
      <c r="H6" s="61">
        <f>E6</f>
        <v>55.935045634478605</v>
      </c>
      <c r="I6" s="25">
        <v>0</v>
      </c>
      <c r="J6" s="24">
        <v>0</v>
      </c>
      <c r="K6" s="62">
        <f>H6*1.06</f>
        <v>59.291148372547326</v>
      </c>
      <c r="L6" s="25">
        <v>0</v>
      </c>
      <c r="M6" s="24">
        <v>0</v>
      </c>
      <c r="N6" s="61">
        <f>K6</f>
        <v>59.291148372547326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59.461713585864985</v>
      </c>
      <c r="C7" s="61">
        <f>'24'!L7</f>
        <v>14.645742262528321</v>
      </c>
      <c r="D7" s="24">
        <v>0</v>
      </c>
      <c r="E7" s="24">
        <v>0</v>
      </c>
      <c r="F7" s="62">
        <f>C7*1.02</f>
        <v>14.938657107778887</v>
      </c>
      <c r="G7" s="24">
        <v>0</v>
      </c>
      <c r="H7" s="25">
        <v>0</v>
      </c>
      <c r="I7" s="61">
        <f>F7</f>
        <v>14.938657107778887</v>
      </c>
      <c r="J7" s="24">
        <v>0</v>
      </c>
      <c r="K7" s="25">
        <v>0</v>
      </c>
      <c r="L7" s="61">
        <f>I7</f>
        <v>14.938657107778887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66.161158323085559</v>
      </c>
      <c r="C8" s="24">
        <v>0</v>
      </c>
      <c r="D8" s="24">
        <v>0</v>
      </c>
      <c r="E8" s="61">
        <f>'24'!N8</f>
        <v>15.942447788695317</v>
      </c>
      <c r="F8" s="24">
        <v>0</v>
      </c>
      <c r="G8" s="24">
        <v>0</v>
      </c>
      <c r="H8" s="62">
        <f>E8*1.05</f>
        <v>16.739570178130084</v>
      </c>
      <c r="I8" s="24">
        <v>0</v>
      </c>
      <c r="J8" s="24">
        <v>0</v>
      </c>
      <c r="K8" s="61">
        <f>H8</f>
        <v>16.739570178130084</v>
      </c>
      <c r="L8" s="24">
        <v>0</v>
      </c>
      <c r="M8" s="24">
        <v>0</v>
      </c>
      <c r="N8" s="61">
        <f>K8</f>
        <v>16.739570178130084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701.87827334500253</v>
      </c>
      <c r="C10" s="29">
        <f t="shared" si="6"/>
        <v>48.553419802528339</v>
      </c>
      <c r="D10" s="29">
        <f t="shared" si="6"/>
        <v>50</v>
      </c>
      <c r="E10" s="29">
        <f t="shared" si="6"/>
        <v>71.877493423173917</v>
      </c>
      <c r="F10" s="29">
        <f t="shared" si="6"/>
        <v>52.237102401778905</v>
      </c>
      <c r="G10" s="29">
        <f t="shared" si="6"/>
        <v>50</v>
      </c>
      <c r="H10" s="29">
        <f t="shared" si="6"/>
        <v>72.674615812608693</v>
      </c>
      <c r="I10" s="29">
        <f t="shared" si="6"/>
        <v>52.237102401778905</v>
      </c>
      <c r="J10" s="29">
        <f t="shared" si="6"/>
        <v>50</v>
      </c>
      <c r="K10" s="29">
        <f t="shared" si="6"/>
        <v>76.030718550677406</v>
      </c>
      <c r="L10" s="29">
        <f t="shared" si="6"/>
        <v>52.237102401778905</v>
      </c>
      <c r="M10" s="29">
        <f t="shared" si="6"/>
        <v>50</v>
      </c>
      <c r="N10" s="29">
        <f t="shared" si="6"/>
        <v>76.030718550677406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5.624853931549223E-2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2024</v>
      </c>
      <c r="B12" s="24">
        <f>SUM(C12:N12)</f>
        <v>671.26253184837196</v>
      </c>
      <c r="C12" s="61">
        <f>'24'!C10</f>
        <v>45.183732245616014</v>
      </c>
      <c r="D12" s="61">
        <f>'24'!D10</f>
        <v>50</v>
      </c>
      <c r="E12" s="61">
        <f>'24'!E10</f>
        <v>67.952194584204463</v>
      </c>
      <c r="F12" s="61">
        <f>'24'!F10</f>
        <v>48.553419802528339</v>
      </c>
      <c r="G12" s="61">
        <f>'24'!G10</f>
        <v>50</v>
      </c>
      <c r="H12" s="61">
        <f>'24'!H10</f>
        <v>68.711358764618524</v>
      </c>
      <c r="I12" s="61">
        <f>'24'!I10</f>
        <v>48.553419802528339</v>
      </c>
      <c r="J12" s="61">
        <f>'24'!J10</f>
        <v>50</v>
      </c>
      <c r="K12" s="61">
        <f>'24'!K10</f>
        <v>71.877493423173917</v>
      </c>
      <c r="L12" s="61">
        <f>'24'!L10</f>
        <v>48.553419802528339</v>
      </c>
      <c r="M12" s="61">
        <f>'24'!M10</f>
        <v>50</v>
      </c>
      <c r="N12" s="61">
        <f>'24'!N10</f>
        <v>71.877493423173917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4.5609191700790766E-2</v>
      </c>
      <c r="C13" s="27">
        <f t="shared" si="7"/>
        <v>7.4577450543370546E-2</v>
      </c>
      <c r="D13" s="27">
        <f t="shared" si="7"/>
        <v>0</v>
      </c>
      <c r="E13" s="27">
        <f t="shared" si="7"/>
        <v>5.7765593340849838E-2</v>
      </c>
      <c r="F13" s="27">
        <f t="shared" si="7"/>
        <v>7.5868653829791508E-2</v>
      </c>
      <c r="G13" s="27">
        <f t="shared" si="7"/>
        <v>0</v>
      </c>
      <c r="H13" s="27">
        <f t="shared" si="7"/>
        <v>5.7679794421864425E-2</v>
      </c>
      <c r="I13" s="27">
        <f t="shared" si="7"/>
        <v>7.5868653829791508E-2</v>
      </c>
      <c r="J13" s="27">
        <f t="shared" si="7"/>
        <v>0</v>
      </c>
      <c r="K13" s="27">
        <f t="shared" si="7"/>
        <v>5.7781997252626151E-2</v>
      </c>
      <c r="L13" s="27">
        <f t="shared" si="7"/>
        <v>7.5868653829791508E-2</v>
      </c>
      <c r="M13" s="27">
        <f t="shared" si="7"/>
        <v>0</v>
      </c>
      <c r="N13" s="27">
        <f t="shared" si="7"/>
        <v>5.7781997252626151E-2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'25'!M3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160.38331476420009</v>
      </c>
      <c r="C4" s="61">
        <f>'25'!L4</f>
        <v>37.298445294000018</v>
      </c>
      <c r="D4" s="25">
        <v>0</v>
      </c>
      <c r="E4" s="24">
        <v>0</v>
      </c>
      <c r="F4" s="62">
        <f>C4*1.1</f>
        <v>41.028289823400023</v>
      </c>
      <c r="G4" s="25">
        <v>0</v>
      </c>
      <c r="H4" s="24">
        <v>0</v>
      </c>
      <c r="I4" s="61">
        <f>F4</f>
        <v>41.028289823400023</v>
      </c>
      <c r="J4" s="25">
        <v>0</v>
      </c>
      <c r="K4" s="25">
        <v>0</v>
      </c>
      <c r="L4" s="61">
        <f>I4</f>
        <v>41.028289823400023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244.27953129489498</v>
      </c>
      <c r="C6" s="25">
        <v>0</v>
      </c>
      <c r="D6" s="24">
        <v>0</v>
      </c>
      <c r="E6" s="61">
        <f>'25'!N6</f>
        <v>59.291148372547326</v>
      </c>
      <c r="F6" s="25">
        <v>0</v>
      </c>
      <c r="G6" s="24">
        <v>0</v>
      </c>
      <c r="H6" s="61">
        <f>E6</f>
        <v>59.291148372547326</v>
      </c>
      <c r="I6" s="25">
        <v>0</v>
      </c>
      <c r="J6" s="24">
        <v>0</v>
      </c>
      <c r="K6" s="62">
        <f>H6*1.06</f>
        <v>62.848617274900171</v>
      </c>
      <c r="L6" s="25">
        <v>0</v>
      </c>
      <c r="M6" s="24">
        <v>0</v>
      </c>
      <c r="N6" s="61">
        <f>K6</f>
        <v>62.848617274900171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60.650947857582281</v>
      </c>
      <c r="C7" s="61">
        <f>'25'!L7</f>
        <v>14.938657107778887</v>
      </c>
      <c r="D7" s="24">
        <v>0</v>
      </c>
      <c r="E7" s="24">
        <v>0</v>
      </c>
      <c r="F7" s="62">
        <f>C7*1.02</f>
        <v>15.237430249934466</v>
      </c>
      <c r="G7" s="24">
        <v>0</v>
      </c>
      <c r="H7" s="25">
        <v>0</v>
      </c>
      <c r="I7" s="61">
        <f>F7</f>
        <v>15.237430249934466</v>
      </c>
      <c r="J7" s="24">
        <v>0</v>
      </c>
      <c r="K7" s="25">
        <v>0</v>
      </c>
      <c r="L7" s="61">
        <f>I7</f>
        <v>15.237430249934466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69.469216239239856</v>
      </c>
      <c r="C8" s="24">
        <v>0</v>
      </c>
      <c r="D8" s="24">
        <v>0</v>
      </c>
      <c r="E8" s="61">
        <f>'25'!N8</f>
        <v>16.739570178130084</v>
      </c>
      <c r="F8" s="24">
        <v>0</v>
      </c>
      <c r="G8" s="24">
        <v>0</v>
      </c>
      <c r="H8" s="62">
        <f>E8*1.05</f>
        <v>17.576548687036588</v>
      </c>
      <c r="I8" s="24">
        <v>0</v>
      </c>
      <c r="J8" s="24">
        <v>0</v>
      </c>
      <c r="K8" s="61">
        <f>H8</f>
        <v>17.576548687036588</v>
      </c>
      <c r="L8" s="24">
        <v>0</v>
      </c>
      <c r="M8" s="24">
        <v>0</v>
      </c>
      <c r="N8" s="61">
        <f>K8</f>
        <v>17.576548687036588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734.78301015591717</v>
      </c>
      <c r="C10" s="29">
        <f t="shared" si="6"/>
        <v>52.237102401778905</v>
      </c>
      <c r="D10" s="29">
        <f t="shared" si="6"/>
        <v>50</v>
      </c>
      <c r="E10" s="29">
        <f t="shared" si="6"/>
        <v>76.030718550677406</v>
      </c>
      <c r="F10" s="29">
        <f t="shared" si="6"/>
        <v>56.265720073334492</v>
      </c>
      <c r="G10" s="29">
        <f t="shared" si="6"/>
        <v>50</v>
      </c>
      <c r="H10" s="29">
        <f t="shared" si="6"/>
        <v>76.867697059583918</v>
      </c>
      <c r="I10" s="29">
        <f t="shared" si="6"/>
        <v>56.265720073334492</v>
      </c>
      <c r="J10" s="29">
        <f t="shared" si="6"/>
        <v>50</v>
      </c>
      <c r="K10" s="29">
        <f t="shared" si="6"/>
        <v>80.425165961936756</v>
      </c>
      <c r="L10" s="29">
        <f t="shared" si="6"/>
        <v>56.265720073334492</v>
      </c>
      <c r="M10" s="29">
        <f t="shared" si="6"/>
        <v>50</v>
      </c>
      <c r="N10" s="29">
        <f t="shared" si="6"/>
        <v>80.425165961936756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5.8885525602806597E-2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2025</v>
      </c>
      <c r="B12" s="24">
        <f>SUM(C12:N12)</f>
        <v>701.87827334500241</v>
      </c>
      <c r="C12" s="61">
        <f>'25'!C10</f>
        <v>48.553419802528339</v>
      </c>
      <c r="D12" s="61">
        <f>'25'!D10</f>
        <v>50</v>
      </c>
      <c r="E12" s="61">
        <f>'25'!E10</f>
        <v>71.877493423173917</v>
      </c>
      <c r="F12" s="61">
        <f>'25'!F10</f>
        <v>52.237102401778905</v>
      </c>
      <c r="G12" s="61">
        <f>'25'!G10</f>
        <v>50</v>
      </c>
      <c r="H12" s="61">
        <f>'25'!H10</f>
        <v>72.674615812608693</v>
      </c>
      <c r="I12" s="61">
        <f>'25'!I10</f>
        <v>52.237102401778905</v>
      </c>
      <c r="J12" s="61">
        <f>'25'!J10</f>
        <v>50</v>
      </c>
      <c r="K12" s="61">
        <f>'25'!K10</f>
        <v>76.030718550677406</v>
      </c>
      <c r="L12" s="61">
        <f>'25'!L10</f>
        <v>52.237102401778905</v>
      </c>
      <c r="M12" s="61">
        <f>'25'!M10</f>
        <v>50</v>
      </c>
      <c r="N12" s="61">
        <f>'25'!N10</f>
        <v>76.030718550677406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4.6880973611133143E-2</v>
      </c>
      <c r="C13" s="27">
        <f t="shared" si="7"/>
        <v>7.5868653829791508E-2</v>
      </c>
      <c r="D13" s="27">
        <f t="shared" si="7"/>
        <v>0</v>
      </c>
      <c r="E13" s="27">
        <f t="shared" si="7"/>
        <v>5.7781997252626151E-2</v>
      </c>
      <c r="F13" s="27">
        <f t="shared" si="7"/>
        <v>7.7121767600539695E-2</v>
      </c>
      <c r="G13" s="27">
        <f t="shared" si="7"/>
        <v>0</v>
      </c>
      <c r="H13" s="27">
        <f t="shared" si="7"/>
        <v>5.7696641393840654E-2</v>
      </c>
      <c r="I13" s="27">
        <f t="shared" si="7"/>
        <v>7.7121767600539695E-2</v>
      </c>
      <c r="J13" s="27">
        <f t="shared" si="7"/>
        <v>0</v>
      </c>
      <c r="K13" s="27">
        <f t="shared" si="7"/>
        <v>5.7798314878877294E-2</v>
      </c>
      <c r="L13" s="27">
        <f t="shared" si="7"/>
        <v>7.7121767600539695E-2</v>
      </c>
      <c r="M13" s="27">
        <f t="shared" si="7"/>
        <v>0</v>
      </c>
      <c r="N13" s="27">
        <f t="shared" si="7"/>
        <v>5.7798314878877294E-2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'26'!M3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176.42164624062008</v>
      </c>
      <c r="C4" s="61">
        <f>'26'!L4</f>
        <v>41.028289823400023</v>
      </c>
      <c r="D4" s="25">
        <v>0</v>
      </c>
      <c r="E4" s="24">
        <v>0</v>
      </c>
      <c r="F4" s="62">
        <f>C4*1.1</f>
        <v>45.13111880574003</v>
      </c>
      <c r="G4" s="25">
        <v>0</v>
      </c>
      <c r="H4" s="24">
        <v>0</v>
      </c>
      <c r="I4" s="61">
        <f>F4</f>
        <v>45.13111880574003</v>
      </c>
      <c r="J4" s="25">
        <v>0</v>
      </c>
      <c r="K4" s="25">
        <v>0</v>
      </c>
      <c r="L4" s="61">
        <f>I4</f>
        <v>45.13111880574003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258.93630317258874</v>
      </c>
      <c r="C6" s="25">
        <v>0</v>
      </c>
      <c r="D6" s="24">
        <v>0</v>
      </c>
      <c r="E6" s="61">
        <f>'26'!N6</f>
        <v>62.848617274900171</v>
      </c>
      <c r="F6" s="25">
        <v>0</v>
      </c>
      <c r="G6" s="24">
        <v>0</v>
      </c>
      <c r="H6" s="61">
        <f>E6</f>
        <v>62.848617274900171</v>
      </c>
      <c r="I6" s="25">
        <v>0</v>
      </c>
      <c r="J6" s="24">
        <v>0</v>
      </c>
      <c r="K6" s="62">
        <f>H6*1.06</f>
        <v>66.61953431139419</v>
      </c>
      <c r="L6" s="25">
        <v>0</v>
      </c>
      <c r="M6" s="24">
        <v>0</v>
      </c>
      <c r="N6" s="61">
        <f>K6</f>
        <v>66.61953431139419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61.863966814733928</v>
      </c>
      <c r="C7" s="61">
        <f>'26'!L7</f>
        <v>15.237430249934466</v>
      </c>
      <c r="D7" s="24">
        <v>0</v>
      </c>
      <c r="E7" s="24">
        <v>0</v>
      </c>
      <c r="F7" s="62">
        <f>C7*1.02</f>
        <v>15.542178854933155</v>
      </c>
      <c r="G7" s="24">
        <v>0</v>
      </c>
      <c r="H7" s="25">
        <v>0</v>
      </c>
      <c r="I7" s="61">
        <f>F7</f>
        <v>15.542178854933155</v>
      </c>
      <c r="J7" s="24">
        <v>0</v>
      </c>
      <c r="K7" s="25">
        <v>0</v>
      </c>
      <c r="L7" s="61">
        <f>I7</f>
        <v>15.542178854933155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72.942677051201841</v>
      </c>
      <c r="C8" s="24">
        <v>0</v>
      </c>
      <c r="D8" s="24">
        <v>0</v>
      </c>
      <c r="E8" s="61">
        <f>'26'!N8</f>
        <v>17.576548687036588</v>
      </c>
      <c r="F8" s="24">
        <v>0</v>
      </c>
      <c r="G8" s="24">
        <v>0</v>
      </c>
      <c r="H8" s="62">
        <f>E8*1.05</f>
        <v>18.455376121388419</v>
      </c>
      <c r="I8" s="24">
        <v>0</v>
      </c>
      <c r="J8" s="24">
        <v>0</v>
      </c>
      <c r="K8" s="61">
        <f>H8</f>
        <v>18.455376121388419</v>
      </c>
      <c r="L8" s="24">
        <v>0</v>
      </c>
      <c r="M8" s="24">
        <v>0</v>
      </c>
      <c r="N8" s="61">
        <f>K8</f>
        <v>18.455376121388419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770.16459327914458</v>
      </c>
      <c r="C10" s="29">
        <f t="shared" si="6"/>
        <v>56.265720073334492</v>
      </c>
      <c r="D10" s="29">
        <f t="shared" si="6"/>
        <v>50</v>
      </c>
      <c r="E10" s="29">
        <f t="shared" si="6"/>
        <v>80.425165961936756</v>
      </c>
      <c r="F10" s="29">
        <f t="shared" si="6"/>
        <v>60.673297660673185</v>
      </c>
      <c r="G10" s="29">
        <f t="shared" si="6"/>
        <v>50</v>
      </c>
      <c r="H10" s="29">
        <f t="shared" si="6"/>
        <v>81.30399339628859</v>
      </c>
      <c r="I10" s="29">
        <f t="shared" si="6"/>
        <v>60.673297660673185</v>
      </c>
      <c r="J10" s="29">
        <f t="shared" si="6"/>
        <v>50</v>
      </c>
      <c r="K10" s="29">
        <f t="shared" si="6"/>
        <v>85.074910432782616</v>
      </c>
      <c r="L10" s="29">
        <f t="shared" si="6"/>
        <v>60.673297660673185</v>
      </c>
      <c r="M10" s="29">
        <f t="shared" si="6"/>
        <v>50</v>
      </c>
      <c r="N10" s="29">
        <f t="shared" si="6"/>
        <v>85.074910432782616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6.1721006404721897E-2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2026</v>
      </c>
      <c r="B12" s="24">
        <f>SUM(C12:N12)</f>
        <v>734.78301015591717</v>
      </c>
      <c r="C12" s="61">
        <f>'26'!C10</f>
        <v>52.237102401778905</v>
      </c>
      <c r="D12" s="61">
        <f>'26'!D10</f>
        <v>50</v>
      </c>
      <c r="E12" s="61">
        <f>'26'!E10</f>
        <v>76.030718550677406</v>
      </c>
      <c r="F12" s="61">
        <f>'26'!F10</f>
        <v>56.265720073334492</v>
      </c>
      <c r="G12" s="61">
        <f>'26'!G10</f>
        <v>50</v>
      </c>
      <c r="H12" s="61">
        <f>'26'!H10</f>
        <v>76.867697059583918</v>
      </c>
      <c r="I12" s="61">
        <f>'26'!I10</f>
        <v>56.265720073334492</v>
      </c>
      <c r="J12" s="61">
        <f>'26'!J10</f>
        <v>50</v>
      </c>
      <c r="K12" s="61">
        <f>'26'!K10</f>
        <v>80.425165961936756</v>
      </c>
      <c r="L12" s="61">
        <f>'26'!L10</f>
        <v>56.265720073334492</v>
      </c>
      <c r="M12" s="61">
        <f>'26'!M10</f>
        <v>50</v>
      </c>
      <c r="N12" s="61">
        <f>'26'!N10</f>
        <v>80.425165961936756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4.8152424095543017E-2</v>
      </c>
      <c r="C13" s="27">
        <f t="shared" si="7"/>
        <v>7.7121767600539695E-2</v>
      </c>
      <c r="D13" s="27">
        <f t="shared" si="7"/>
        <v>0</v>
      </c>
      <c r="E13" s="27">
        <f t="shared" si="7"/>
        <v>5.7798314878877294E-2</v>
      </c>
      <c r="F13" s="27">
        <f t="shared" si="7"/>
        <v>7.8335042750613204E-2</v>
      </c>
      <c r="G13" s="27">
        <f t="shared" si="7"/>
        <v>0</v>
      </c>
      <c r="H13" s="27">
        <f t="shared" si="7"/>
        <v>5.7713402461711333E-2</v>
      </c>
      <c r="I13" s="27">
        <f t="shared" si="7"/>
        <v>7.8335042750613204E-2</v>
      </c>
      <c r="J13" s="27">
        <f t="shared" si="7"/>
        <v>0</v>
      </c>
      <c r="K13" s="27">
        <f t="shared" si="7"/>
        <v>5.7814546171362197E-2</v>
      </c>
      <c r="L13" s="27">
        <f t="shared" si="7"/>
        <v>7.8335042750613204E-2</v>
      </c>
      <c r="M13" s="27">
        <f t="shared" si="7"/>
        <v>0</v>
      </c>
      <c r="N13" s="27">
        <f t="shared" si="7"/>
        <v>5.7814546171362197E-2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'27'!M3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194.06381086468215</v>
      </c>
      <c r="C4" s="61">
        <f>'27'!L4</f>
        <v>45.13111880574003</v>
      </c>
      <c r="D4" s="25">
        <v>0</v>
      </c>
      <c r="E4" s="24">
        <v>0</v>
      </c>
      <c r="F4" s="62">
        <f>C4*1.1</f>
        <v>49.644230686314039</v>
      </c>
      <c r="G4" s="25">
        <v>0</v>
      </c>
      <c r="H4" s="24">
        <v>0</v>
      </c>
      <c r="I4" s="61">
        <f>F4</f>
        <v>49.644230686314039</v>
      </c>
      <c r="J4" s="25">
        <v>0</v>
      </c>
      <c r="K4" s="25">
        <v>0</v>
      </c>
      <c r="L4" s="61">
        <f>I4</f>
        <v>49.644230686314039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274.47248136294411</v>
      </c>
      <c r="C6" s="25">
        <v>0</v>
      </c>
      <c r="D6" s="24">
        <v>0</v>
      </c>
      <c r="E6" s="61">
        <f>'27'!N6</f>
        <v>66.61953431139419</v>
      </c>
      <c r="F6" s="25">
        <v>0</v>
      </c>
      <c r="G6" s="24">
        <v>0</v>
      </c>
      <c r="H6" s="61">
        <f>E6</f>
        <v>66.61953431139419</v>
      </c>
      <c r="I6" s="25">
        <v>0</v>
      </c>
      <c r="J6" s="24">
        <v>0</v>
      </c>
      <c r="K6" s="62">
        <f>H6*1.06</f>
        <v>70.61670637007785</v>
      </c>
      <c r="L6" s="25">
        <v>0</v>
      </c>
      <c r="M6" s="24">
        <v>0</v>
      </c>
      <c r="N6" s="61">
        <f>K6</f>
        <v>70.61670637007785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63.101246151028619</v>
      </c>
      <c r="C7" s="61">
        <f>'27'!L7</f>
        <v>15.542178854933155</v>
      </c>
      <c r="D7" s="24">
        <v>0</v>
      </c>
      <c r="E7" s="24">
        <v>0</v>
      </c>
      <c r="F7" s="62">
        <f>C7*1.02</f>
        <v>15.853022432031819</v>
      </c>
      <c r="G7" s="24">
        <v>0</v>
      </c>
      <c r="H7" s="25">
        <v>0</v>
      </c>
      <c r="I7" s="61">
        <f>F7</f>
        <v>15.853022432031819</v>
      </c>
      <c r="J7" s="24">
        <v>0</v>
      </c>
      <c r="K7" s="25">
        <v>0</v>
      </c>
      <c r="L7" s="61">
        <f>I7</f>
        <v>15.853022432031819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76.589810903761929</v>
      </c>
      <c r="C8" s="24">
        <v>0</v>
      </c>
      <c r="D8" s="24">
        <v>0</v>
      </c>
      <c r="E8" s="61">
        <f>'27'!N8</f>
        <v>18.455376121388419</v>
      </c>
      <c r="F8" s="24">
        <v>0</v>
      </c>
      <c r="G8" s="24">
        <v>0</v>
      </c>
      <c r="H8" s="62">
        <f>E8*1.05</f>
        <v>19.378144927457839</v>
      </c>
      <c r="I8" s="24">
        <v>0</v>
      </c>
      <c r="J8" s="24">
        <v>0</v>
      </c>
      <c r="K8" s="61">
        <f>H8</f>
        <v>19.378144927457839</v>
      </c>
      <c r="L8" s="24">
        <v>0</v>
      </c>
      <c r="M8" s="24">
        <v>0</v>
      </c>
      <c r="N8" s="61">
        <f>K8</f>
        <v>19.378144927457839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808.22734928241675</v>
      </c>
      <c r="C10" s="29">
        <f t="shared" si="6"/>
        <v>60.673297660673185</v>
      </c>
      <c r="D10" s="29">
        <f t="shared" si="6"/>
        <v>50</v>
      </c>
      <c r="E10" s="29">
        <f t="shared" si="6"/>
        <v>85.074910432782616</v>
      </c>
      <c r="F10" s="29">
        <f t="shared" si="6"/>
        <v>65.497253118345853</v>
      </c>
      <c r="G10" s="29">
        <f t="shared" si="6"/>
        <v>50</v>
      </c>
      <c r="H10" s="29">
        <f t="shared" si="6"/>
        <v>85.997679238852029</v>
      </c>
      <c r="I10" s="29">
        <f t="shared" si="6"/>
        <v>65.497253118345853</v>
      </c>
      <c r="J10" s="29">
        <f t="shared" si="6"/>
        <v>50</v>
      </c>
      <c r="K10" s="29">
        <f t="shared" si="6"/>
        <v>89.994851297535689</v>
      </c>
      <c r="L10" s="29">
        <f t="shared" si="6"/>
        <v>65.497253118345853</v>
      </c>
      <c r="M10" s="29">
        <f t="shared" si="6"/>
        <v>50</v>
      </c>
      <c r="N10" s="29">
        <f t="shared" si="6"/>
        <v>89.994851297535689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6.4771356456594306E-2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2026</v>
      </c>
      <c r="B12" s="24">
        <f>SUM(C12:N12)</f>
        <v>770.1645932791447</v>
      </c>
      <c r="C12" s="61">
        <f>'27'!C10</f>
        <v>56.265720073334492</v>
      </c>
      <c r="D12" s="61">
        <f>'27'!D10</f>
        <v>50</v>
      </c>
      <c r="E12" s="61">
        <f>'27'!E10</f>
        <v>80.425165961936756</v>
      </c>
      <c r="F12" s="61">
        <f>'27'!F10</f>
        <v>60.673297660673185</v>
      </c>
      <c r="G12" s="61">
        <f>'27'!G10</f>
        <v>50</v>
      </c>
      <c r="H12" s="61">
        <f>'27'!H10</f>
        <v>81.30399339628859</v>
      </c>
      <c r="I12" s="61">
        <f>'27'!I10</f>
        <v>60.673297660673185</v>
      </c>
      <c r="J12" s="61">
        <f>'27'!J10</f>
        <v>50</v>
      </c>
      <c r="K12" s="61">
        <f>'27'!K10</f>
        <v>85.074910432782616</v>
      </c>
      <c r="L12" s="61">
        <f>'27'!L10</f>
        <v>60.673297660673185</v>
      </c>
      <c r="M12" s="61">
        <f>'27'!M10</f>
        <v>50</v>
      </c>
      <c r="N12" s="61">
        <f>'27'!N10</f>
        <v>85.074910432782616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4.9421586418575185E-2</v>
      </c>
      <c r="C13" s="27">
        <f t="shared" si="7"/>
        <v>7.8335042750613204E-2</v>
      </c>
      <c r="D13" s="27">
        <f t="shared" si="7"/>
        <v>0</v>
      </c>
      <c r="E13" s="27">
        <f t="shared" si="7"/>
        <v>5.7814546171362197E-2</v>
      </c>
      <c r="F13" s="27">
        <f t="shared" si="7"/>
        <v>7.9507059013860501E-2</v>
      </c>
      <c r="G13" s="27">
        <f t="shared" si="7"/>
        <v>0</v>
      </c>
      <c r="H13" s="27">
        <f t="shared" si="7"/>
        <v>5.7730077533654084E-2</v>
      </c>
      <c r="I13" s="27">
        <f t="shared" si="7"/>
        <v>7.9507059013860501E-2</v>
      </c>
      <c r="J13" s="27">
        <f t="shared" si="7"/>
        <v>0</v>
      </c>
      <c r="K13" s="27">
        <f t="shared" si="7"/>
        <v>5.7830691090063516E-2</v>
      </c>
      <c r="L13" s="27">
        <f t="shared" si="7"/>
        <v>7.9507059013860501E-2</v>
      </c>
      <c r="M13" s="27">
        <f t="shared" si="7"/>
        <v>0</v>
      </c>
      <c r="N13" s="27">
        <f t="shared" si="7"/>
        <v>5.7830691090063516E-2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8" sqref="D8"/>
    </sheetView>
  </sheetViews>
  <sheetFormatPr defaultRowHeight="15" outlineLevelCol="1" x14ac:dyDescent="0.25"/>
  <cols>
    <col min="1" max="1" width="11.5703125" bestFit="1" customWidth="1"/>
    <col min="2" max="2" width="5.140625" hidden="1" customWidth="1" outlineLevel="1"/>
    <col min="3" max="3" width="6.42578125" customWidth="1" collapsed="1"/>
    <col min="4" max="4" width="8" bestFit="1" customWidth="1"/>
  </cols>
  <sheetData>
    <row r="1" spans="1:10" x14ac:dyDescent="0.25">
      <c r="B1" s="44" t="s">
        <v>65</v>
      </c>
      <c r="C1" s="44" t="s">
        <v>67</v>
      </c>
      <c r="D1" s="44" t="s">
        <v>68</v>
      </c>
      <c r="E1" s="44" t="s">
        <v>69</v>
      </c>
      <c r="F1" s="44" t="s">
        <v>79</v>
      </c>
      <c r="G1" s="44" t="s">
        <v>80</v>
      </c>
      <c r="H1" s="44" t="s">
        <v>81</v>
      </c>
      <c r="I1" s="44" t="s">
        <v>82</v>
      </c>
      <c r="J1" s="44" t="s">
        <v>83</v>
      </c>
    </row>
    <row r="2" spans="1:10" x14ac:dyDescent="0.25">
      <c r="A2" s="1" t="s">
        <v>0</v>
      </c>
      <c r="B2" s="41">
        <v>0</v>
      </c>
      <c r="C2" s="41">
        <v>27.55</v>
      </c>
      <c r="D2" s="9">
        <v>28.1</v>
      </c>
      <c r="E2" s="46">
        <f>'18'!C10</f>
        <v>30.15</v>
      </c>
      <c r="F2" s="46">
        <f>'19'!C10</f>
        <v>32.145000000000003</v>
      </c>
      <c r="G2" s="46">
        <f>'20'!C10</f>
        <v>34.319100000000006</v>
      </c>
      <c r="H2" s="46">
        <f>'21'!C10</f>
        <v>36.689802000000007</v>
      </c>
      <c r="I2" s="46">
        <f>'22'!C10</f>
        <v>39.276350040000011</v>
      </c>
      <c r="J2" s="46">
        <f>'23'!C10</f>
        <v>42.099904240800008</v>
      </c>
    </row>
    <row r="3" spans="1:10" x14ac:dyDescent="0.25">
      <c r="A3" t="s">
        <v>1</v>
      </c>
      <c r="B3" s="41">
        <v>0</v>
      </c>
      <c r="C3" s="41">
        <v>36.6</v>
      </c>
      <c r="D3" s="9">
        <v>47</v>
      </c>
      <c r="E3" s="46">
        <f>'18'!D10</f>
        <v>50</v>
      </c>
      <c r="F3" s="46">
        <f>'19'!D10</f>
        <v>50</v>
      </c>
      <c r="G3" s="46">
        <f>'20'!D10</f>
        <v>50</v>
      </c>
      <c r="H3" s="46">
        <f>'21'!D10</f>
        <v>50</v>
      </c>
      <c r="I3" s="46">
        <f>'22'!D10</f>
        <v>50</v>
      </c>
      <c r="J3" s="46">
        <f>'23'!D10</f>
        <v>50</v>
      </c>
    </row>
    <row r="4" spans="1:10" x14ac:dyDescent="0.25">
      <c r="A4" t="s">
        <v>2</v>
      </c>
      <c r="B4" s="41">
        <v>10.5</v>
      </c>
      <c r="C4" s="41">
        <v>22.2</v>
      </c>
      <c r="D4" s="9">
        <v>26.25</v>
      </c>
      <c r="E4" s="46">
        <f>'18'!E10</f>
        <v>48.75</v>
      </c>
      <c r="F4" s="46">
        <f>'19'!E10</f>
        <v>51.328500000000005</v>
      </c>
      <c r="G4" s="46">
        <f>'20'!E10</f>
        <v>54.289245000000008</v>
      </c>
      <c r="H4" s="46">
        <f>'21'!E10</f>
        <v>57.42168645000001</v>
      </c>
      <c r="I4" s="46">
        <f>'22'!E10</f>
        <v>60.73582872450001</v>
      </c>
      <c r="J4" s="46">
        <f>'23'!E10</f>
        <v>64.242261589845015</v>
      </c>
    </row>
    <row r="5" spans="1:10" x14ac:dyDescent="0.25">
      <c r="A5" t="s">
        <v>3</v>
      </c>
      <c r="B5" s="41">
        <v>0</v>
      </c>
      <c r="C5" s="41">
        <v>27.8</v>
      </c>
      <c r="D5" s="9">
        <v>12.75</v>
      </c>
      <c r="E5" s="46">
        <f>'18'!F10</f>
        <v>32.145000000000003</v>
      </c>
      <c r="F5" s="46">
        <f>'19'!F10</f>
        <v>34.319100000000006</v>
      </c>
      <c r="G5" s="46">
        <f>'20'!F10</f>
        <v>36.689802000000007</v>
      </c>
      <c r="H5" s="46">
        <f>'21'!F10</f>
        <v>39.276350040000011</v>
      </c>
      <c r="I5" s="46">
        <f>'22'!F10</f>
        <v>42.099904240800008</v>
      </c>
      <c r="J5" s="46">
        <f>'23'!F10</f>
        <v>45.183732245616014</v>
      </c>
    </row>
    <row r="6" spans="1:10" x14ac:dyDescent="0.25">
      <c r="A6" t="s">
        <v>4</v>
      </c>
      <c r="B6" s="41">
        <v>0</v>
      </c>
      <c r="C6" s="41">
        <v>16.8</v>
      </c>
      <c r="D6" s="9">
        <v>87</v>
      </c>
      <c r="E6" s="46">
        <f>'18'!G10</f>
        <v>50</v>
      </c>
      <c r="F6" s="46">
        <f>'19'!G10</f>
        <v>50</v>
      </c>
      <c r="G6" s="46">
        <f>'20'!G10</f>
        <v>50</v>
      </c>
      <c r="H6" s="46">
        <f>'21'!G10</f>
        <v>50</v>
      </c>
      <c r="I6" s="46">
        <f>'22'!G10</f>
        <v>50</v>
      </c>
      <c r="J6" s="46">
        <f>'23'!G10</f>
        <v>50</v>
      </c>
    </row>
    <row r="7" spans="1:10" x14ac:dyDescent="0.25">
      <c r="A7" t="s">
        <v>5</v>
      </c>
      <c r="B7" s="41">
        <v>11.25</v>
      </c>
      <c r="C7" s="41">
        <v>23.75</v>
      </c>
      <c r="D7" s="9">
        <v>60.3</v>
      </c>
      <c r="E7" s="46">
        <f>'18'!H10</f>
        <v>49.096500000000006</v>
      </c>
      <c r="F7" s="46">
        <f>'19'!H10</f>
        <v>51.923325000000006</v>
      </c>
      <c r="G7" s="46">
        <f>'20'!H10</f>
        <v>54.913811250000009</v>
      </c>
      <c r="H7" s="46">
        <f>'21'!H10</f>
        <v>58.077481012500009</v>
      </c>
      <c r="I7" s="46">
        <f>'22'!H10</f>
        <v>61.424413015125012</v>
      </c>
      <c r="J7" s="46">
        <f>'23'!H10</f>
        <v>64.96527509500126</v>
      </c>
    </row>
    <row r="8" spans="1:10" x14ac:dyDescent="0.25">
      <c r="A8" t="s">
        <v>6</v>
      </c>
      <c r="B8" s="41">
        <v>0</v>
      </c>
      <c r="C8" s="41">
        <v>15.3</v>
      </c>
      <c r="D8" s="8">
        <f>'17'!I10</f>
        <v>17.399999999999999</v>
      </c>
      <c r="E8" s="46">
        <f>'18'!I10</f>
        <v>32.145000000000003</v>
      </c>
      <c r="F8" s="46">
        <f>'19'!I10</f>
        <v>34.319100000000006</v>
      </c>
      <c r="G8" s="46">
        <f>'20'!I10</f>
        <v>36.689802000000007</v>
      </c>
      <c r="H8" s="46">
        <f>'21'!I10</f>
        <v>39.276350040000011</v>
      </c>
      <c r="I8" s="46">
        <f>'22'!I10</f>
        <v>42.099904240800008</v>
      </c>
      <c r="J8" s="46">
        <f>'23'!I10</f>
        <v>45.183732245616014</v>
      </c>
    </row>
    <row r="9" spans="1:10" x14ac:dyDescent="0.25">
      <c r="A9" t="s">
        <v>7</v>
      </c>
      <c r="B9" s="41">
        <v>0</v>
      </c>
      <c r="C9" s="41">
        <v>36</v>
      </c>
      <c r="D9" s="8">
        <f>'17'!J10</f>
        <v>50</v>
      </c>
      <c r="E9" s="46">
        <f>'18'!J10</f>
        <v>50</v>
      </c>
      <c r="F9" s="46">
        <f>'19'!J10</f>
        <v>50</v>
      </c>
      <c r="G9" s="46">
        <f>'20'!J10</f>
        <v>50</v>
      </c>
      <c r="H9" s="46">
        <f>'21'!J10</f>
        <v>50</v>
      </c>
      <c r="I9" s="46">
        <f>'22'!J10</f>
        <v>50</v>
      </c>
      <c r="J9" s="46">
        <f>'23'!J10</f>
        <v>50</v>
      </c>
    </row>
    <row r="10" spans="1:10" x14ac:dyDescent="0.25">
      <c r="A10" t="s">
        <v>8</v>
      </c>
      <c r="B10" s="41">
        <v>22.2</v>
      </c>
      <c r="C10" s="41">
        <f>'16'!K10</f>
        <v>23.75</v>
      </c>
      <c r="D10" s="8">
        <f>'17'!K10</f>
        <v>61.5</v>
      </c>
      <c r="E10" s="46">
        <f>'18'!K10</f>
        <v>51.328500000000005</v>
      </c>
      <c r="F10" s="46">
        <f>'19'!K10</f>
        <v>54.289245000000008</v>
      </c>
      <c r="G10" s="46">
        <f>'20'!K10</f>
        <v>57.42168645000001</v>
      </c>
      <c r="H10" s="46">
        <f>'21'!K10</f>
        <v>60.73582872450001</v>
      </c>
      <c r="I10" s="46">
        <f>'22'!K10</f>
        <v>64.242261589845015</v>
      </c>
      <c r="J10" s="46">
        <f>'23'!K10</f>
        <v>67.952194584204463</v>
      </c>
    </row>
    <row r="11" spans="1:10" x14ac:dyDescent="0.25">
      <c r="A11" t="s">
        <v>9</v>
      </c>
      <c r="B11" s="41">
        <v>15.3</v>
      </c>
      <c r="C11" s="41">
        <v>15.6</v>
      </c>
      <c r="D11" s="8">
        <f>'17'!L10</f>
        <v>17.399999999999999</v>
      </c>
      <c r="E11" s="46">
        <f>'18'!L10</f>
        <v>32.145000000000003</v>
      </c>
      <c r="F11" s="46">
        <f>'19'!L10</f>
        <v>34.319100000000006</v>
      </c>
      <c r="G11" s="46">
        <f>'20'!L10</f>
        <v>36.689802000000007</v>
      </c>
      <c r="H11" s="46">
        <f>'21'!L10</f>
        <v>39.276350040000011</v>
      </c>
      <c r="I11" s="46">
        <f>'22'!L10</f>
        <v>42.099904240800008</v>
      </c>
      <c r="J11" s="46">
        <f>'23'!L10</f>
        <v>45.183732245616014</v>
      </c>
    </row>
    <row r="12" spans="1:10" x14ac:dyDescent="0.25">
      <c r="A12" t="s">
        <v>10</v>
      </c>
      <c r="B12" s="41">
        <v>0</v>
      </c>
      <c r="C12" s="41">
        <v>41</v>
      </c>
      <c r="D12" s="8">
        <f>'17'!M10</f>
        <v>50</v>
      </c>
      <c r="E12" s="46">
        <f>'18'!M10</f>
        <v>50</v>
      </c>
      <c r="F12" s="46">
        <f>'19'!M10</f>
        <v>50</v>
      </c>
      <c r="G12" s="46">
        <f>'20'!M10</f>
        <v>50</v>
      </c>
      <c r="H12" s="46">
        <f>'21'!M10</f>
        <v>50</v>
      </c>
      <c r="I12" s="46">
        <f>'22'!M10</f>
        <v>50</v>
      </c>
      <c r="J12" s="46">
        <f>'23'!M10</f>
        <v>50</v>
      </c>
    </row>
    <row r="13" spans="1:10" x14ac:dyDescent="0.25">
      <c r="A13" t="s">
        <v>11</v>
      </c>
      <c r="B13" s="42">
        <v>22.2</v>
      </c>
      <c r="C13" s="42">
        <v>26.25</v>
      </c>
      <c r="D13" s="8">
        <f>'17'!N10</f>
        <v>48.75</v>
      </c>
      <c r="E13" s="47">
        <f>'18'!N10</f>
        <v>51.328500000000005</v>
      </c>
      <c r="F13" s="47">
        <f>'19'!N10</f>
        <v>54.289245000000008</v>
      </c>
      <c r="G13" s="47">
        <f>'20'!N10</f>
        <v>57.42168645000001</v>
      </c>
      <c r="H13" s="47">
        <f>'21'!N10</f>
        <v>60.73582872450001</v>
      </c>
      <c r="I13" s="47">
        <f>'22'!N10</f>
        <v>64.242261589845015</v>
      </c>
      <c r="J13" s="47">
        <f>'23'!N10</f>
        <v>67.952194584204463</v>
      </c>
    </row>
    <row r="14" spans="1:10" s="3" customFormat="1" x14ac:dyDescent="0.25">
      <c r="A14" s="3" t="s">
        <v>13</v>
      </c>
      <c r="B14" s="43">
        <f>SUM(B2:B13)</f>
        <v>81.45</v>
      </c>
      <c r="C14" s="43">
        <f t="shared" ref="C14:G14" si="0">SUM(C2:C13)</f>
        <v>312.60000000000002</v>
      </c>
      <c r="D14" s="35">
        <f t="shared" si="0"/>
        <v>506.44999999999993</v>
      </c>
      <c r="E14" s="35">
        <f t="shared" si="0"/>
        <v>527.08849999999995</v>
      </c>
      <c r="F14" s="35">
        <f t="shared" si="0"/>
        <v>546.93261499999994</v>
      </c>
      <c r="G14" s="35">
        <f t="shared" si="0"/>
        <v>568.43493515000011</v>
      </c>
      <c r="H14" s="35">
        <f t="shared" ref="H14:J14" si="1">SUM(H2:H13)</f>
        <v>591.48967703150015</v>
      </c>
      <c r="I14" s="35">
        <f t="shared" si="1"/>
        <v>616.22082768171515</v>
      </c>
      <c r="J14" s="35">
        <f t="shared" si="1"/>
        <v>642.76302683090319</v>
      </c>
    </row>
    <row r="15" spans="1:10" x14ac:dyDescent="0.25">
      <c r="B15" s="45"/>
    </row>
    <row r="16" spans="1:10" s="3" customFormat="1" x14ac:dyDescent="0.25">
      <c r="A16" s="3" t="s">
        <v>12</v>
      </c>
      <c r="B16" s="48">
        <f>B14/12</f>
        <v>6.7875000000000005</v>
      </c>
      <c r="C16" s="48">
        <f>C14/12</f>
        <v>26.05</v>
      </c>
      <c r="D16" s="5">
        <f>D14/12</f>
        <v>42.204166666666659</v>
      </c>
      <c r="E16" s="5">
        <f>E14/12</f>
        <v>43.92404166666666</v>
      </c>
      <c r="F16" s="5">
        <f t="shared" ref="F16:G16" si="2">F14/12</f>
        <v>45.577717916666664</v>
      </c>
      <c r="G16" s="5">
        <f t="shared" si="2"/>
        <v>47.369577929166674</v>
      </c>
      <c r="H16" s="5">
        <f t="shared" ref="H16:I16" si="3">H14/12</f>
        <v>49.290806419291677</v>
      </c>
      <c r="I16" s="5">
        <f t="shared" si="3"/>
        <v>51.351735640142927</v>
      </c>
      <c r="J16" s="5">
        <f t="shared" ref="J16" si="4">J14/12</f>
        <v>53.56358556924193</v>
      </c>
    </row>
    <row r="17" spans="2:10" x14ac:dyDescent="0.25">
      <c r="B17" s="6"/>
      <c r="C17" s="49">
        <f>(C16-B16)/B16</f>
        <v>2.8379373848987104</v>
      </c>
      <c r="D17" s="6">
        <f>(D16-C16)/C16</f>
        <v>0.62012156110044747</v>
      </c>
      <c r="E17" s="6">
        <f>(E16-D16)/D16</f>
        <v>4.0751308125185161E-2</v>
      </c>
      <c r="F17" s="6">
        <f t="shared" ref="F17:J17" si="5">(F16-E16)/E16</f>
        <v>3.7648544788968168E-2</v>
      </c>
      <c r="G17" s="6">
        <f t="shared" si="5"/>
        <v>3.9314386380121281E-2</v>
      </c>
      <c r="H17" s="6">
        <f t="shared" si="5"/>
        <v>4.0558277572113492E-2</v>
      </c>
      <c r="I17" s="6">
        <f t="shared" si="5"/>
        <v>4.1811635283869761E-2</v>
      </c>
      <c r="J17" s="6">
        <f t="shared" si="5"/>
        <v>4.3072544706160718E-2</v>
      </c>
    </row>
  </sheetData>
  <pageMargins left="0.7" right="0.7" top="0.75" bottom="0.75" header="0.3" footer="0.3"/>
  <pageSetup orientation="portrait" r:id="rId1"/>
  <ignoredErrors>
    <ignoredError sqref="B14:G14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7.42578125" style="16" bestFit="1" customWidth="1"/>
    <col min="12" max="12" width="8.7109375" style="16" bestFit="1" customWidth="1"/>
    <col min="13" max="13" width="8.42578125" style="16" bestFit="1" customWidth="1"/>
    <col min="14" max="14" width="7.710937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'28'!M3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213.47019195115041</v>
      </c>
      <c r="C4" s="61">
        <f>'28'!L4</f>
        <v>49.644230686314039</v>
      </c>
      <c r="D4" s="25">
        <v>0</v>
      </c>
      <c r="E4" s="24">
        <v>0</v>
      </c>
      <c r="F4" s="62">
        <f>C4*1.1</f>
        <v>54.60865375494545</v>
      </c>
      <c r="G4" s="25">
        <v>0</v>
      </c>
      <c r="H4" s="24">
        <v>0</v>
      </c>
      <c r="I4" s="61">
        <f>F4</f>
        <v>54.60865375494545</v>
      </c>
      <c r="J4" s="25">
        <v>0</v>
      </c>
      <c r="K4" s="25">
        <v>0</v>
      </c>
      <c r="L4" s="61">
        <f>I4</f>
        <v>54.60865375494545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>
        <v>0</v>
      </c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290.94083024472076</v>
      </c>
      <c r="C6" s="25">
        <v>0</v>
      </c>
      <c r="D6" s="24">
        <v>0</v>
      </c>
      <c r="E6" s="61">
        <f>'28'!N6</f>
        <v>70.61670637007785</v>
      </c>
      <c r="F6" s="25">
        <v>0</v>
      </c>
      <c r="G6" s="24">
        <v>0</v>
      </c>
      <c r="H6" s="61">
        <f>E6</f>
        <v>70.61670637007785</v>
      </c>
      <c r="I6" s="25">
        <v>0</v>
      </c>
      <c r="J6" s="24">
        <v>0</v>
      </c>
      <c r="K6" s="62">
        <f>H6*1.06</f>
        <v>74.853708752282529</v>
      </c>
      <c r="L6" s="25">
        <v>0</v>
      </c>
      <c r="M6" s="24">
        <v>0</v>
      </c>
      <c r="N6" s="61">
        <f>K6</f>
        <v>74.853708752282529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64.36327107404918</v>
      </c>
      <c r="C7" s="61">
        <f>'28'!L7</f>
        <v>15.853022432031819</v>
      </c>
      <c r="D7" s="24">
        <v>0</v>
      </c>
      <c r="E7" s="24">
        <v>0</v>
      </c>
      <c r="F7" s="62">
        <f>C7*1.02</f>
        <v>16.170082880672457</v>
      </c>
      <c r="G7" s="24">
        <v>0</v>
      </c>
      <c r="H7" s="25">
        <v>0</v>
      </c>
      <c r="I7" s="61">
        <f>F7</f>
        <v>16.170082880672457</v>
      </c>
      <c r="J7" s="24">
        <v>0</v>
      </c>
      <c r="K7" s="25">
        <v>0</v>
      </c>
      <c r="L7" s="61">
        <f>I7</f>
        <v>16.170082880672457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80.419301448950037</v>
      </c>
      <c r="C8" s="24">
        <v>0</v>
      </c>
      <c r="D8" s="24">
        <v>0</v>
      </c>
      <c r="E8" s="61">
        <f>'28'!N8</f>
        <v>19.378144927457839</v>
      </c>
      <c r="F8" s="24">
        <v>0</v>
      </c>
      <c r="G8" s="24">
        <v>0</v>
      </c>
      <c r="H8" s="62">
        <f>E8*1.05</f>
        <v>20.347052173830733</v>
      </c>
      <c r="I8" s="24">
        <v>0</v>
      </c>
      <c r="J8" s="24">
        <v>0</v>
      </c>
      <c r="K8" s="61">
        <f>H8</f>
        <v>20.347052173830733</v>
      </c>
      <c r="L8" s="24">
        <v>0</v>
      </c>
      <c r="M8" s="24">
        <v>0</v>
      </c>
      <c r="N8" s="61">
        <f>K8</f>
        <v>20.347052173830733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849.19359471887037</v>
      </c>
      <c r="C10" s="29">
        <f t="shared" si="6"/>
        <v>65.497253118345853</v>
      </c>
      <c r="D10" s="29">
        <f t="shared" si="6"/>
        <v>50</v>
      </c>
      <c r="E10" s="29">
        <f t="shared" si="6"/>
        <v>89.994851297535689</v>
      </c>
      <c r="F10" s="29">
        <f t="shared" si="6"/>
        <v>70.778736635617904</v>
      </c>
      <c r="G10" s="29">
        <f t="shared" si="6"/>
        <v>50</v>
      </c>
      <c r="H10" s="29">
        <f t="shared" si="6"/>
        <v>90.963758543908583</v>
      </c>
      <c r="I10" s="29">
        <f t="shared" si="6"/>
        <v>70.778736635617904</v>
      </c>
      <c r="J10" s="29">
        <f t="shared" si="6"/>
        <v>50</v>
      </c>
      <c r="K10" s="29">
        <f t="shared" si="6"/>
        <v>95.200760926113261</v>
      </c>
      <c r="L10" s="29">
        <f t="shared" si="6"/>
        <v>70.778736635617904</v>
      </c>
      <c r="M10" s="29">
        <f t="shared" si="6"/>
        <v>50</v>
      </c>
      <c r="N10" s="29">
        <f t="shared" si="6"/>
        <v>95.200760926113261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6.8054392211581702E-2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2026</v>
      </c>
      <c r="B12" s="24">
        <f>SUM(C12:N12)</f>
        <v>808.22734928241664</v>
      </c>
      <c r="C12" s="61">
        <f>'28'!C10</f>
        <v>60.673297660673185</v>
      </c>
      <c r="D12" s="61">
        <f>'28'!D10</f>
        <v>50</v>
      </c>
      <c r="E12" s="61">
        <f>'28'!E10</f>
        <v>85.074910432782616</v>
      </c>
      <c r="F12" s="61">
        <f>'28'!F10</f>
        <v>65.497253118345853</v>
      </c>
      <c r="G12" s="61">
        <f>'28'!G10</f>
        <v>50</v>
      </c>
      <c r="H12" s="61">
        <f>'28'!H10</f>
        <v>85.997679238852029</v>
      </c>
      <c r="I12" s="61">
        <f>'28'!I10</f>
        <v>65.497253118345853</v>
      </c>
      <c r="J12" s="61">
        <f>'28'!J10</f>
        <v>50</v>
      </c>
      <c r="K12" s="61">
        <f>'28'!K10</f>
        <v>89.994851297535689</v>
      </c>
      <c r="L12" s="61">
        <f>'28'!L10</f>
        <v>65.497253118345853</v>
      </c>
      <c r="M12" s="61">
        <f>'28'!M10</f>
        <v>50</v>
      </c>
      <c r="N12" s="61">
        <f>'28'!N10</f>
        <v>89.994851297535689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5.0686536990891914E-2</v>
      </c>
      <c r="C13" s="27">
        <f t="shared" si="7"/>
        <v>7.9507059013860501E-2</v>
      </c>
      <c r="D13" s="27">
        <f t="shared" si="7"/>
        <v>0</v>
      </c>
      <c r="E13" s="27">
        <f t="shared" si="7"/>
        <v>5.7830691090063516E-2</v>
      </c>
      <c r="F13" s="27">
        <f t="shared" si="7"/>
        <v>8.0636717813631506E-2</v>
      </c>
      <c r="G13" s="27">
        <f t="shared" si="7"/>
        <v>0</v>
      </c>
      <c r="H13" s="27">
        <f t="shared" si="7"/>
        <v>5.7746666526472701E-2</v>
      </c>
      <c r="I13" s="27">
        <f t="shared" si="7"/>
        <v>8.0636717813631506E-2</v>
      </c>
      <c r="J13" s="27">
        <f t="shared" si="7"/>
        <v>0</v>
      </c>
      <c r="K13" s="27">
        <f t="shared" si="7"/>
        <v>5.7846749603108961E-2</v>
      </c>
      <c r="L13" s="27">
        <f t="shared" si="7"/>
        <v>8.0636717813631506E-2</v>
      </c>
      <c r="M13" s="27">
        <f t="shared" si="7"/>
        <v>0</v>
      </c>
      <c r="N13" s="27">
        <f t="shared" si="7"/>
        <v>5.7846749603108961E-2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P7" sqref="P7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4" width="8.42578125" style="16" bestFit="1" customWidth="1"/>
    <col min="5" max="5" width="8.7109375" style="16" bestFit="1" customWidth="1"/>
    <col min="6" max="7" width="8.42578125" style="16" bestFit="1" customWidth="1"/>
    <col min="8" max="8" width="8.7109375" style="16" bestFit="1" customWidth="1"/>
    <col min="9" max="10" width="8.42578125" style="16" bestFit="1" customWidth="1"/>
    <col min="11" max="11" width="8.5703125" style="16" bestFit="1" customWidth="1"/>
    <col min="12" max="12" width="8.7109375" style="16" bestFit="1" customWidth="1"/>
    <col min="13" max="13" width="8.42578125" style="16" bestFit="1" customWidth="1"/>
    <col min="14" max="14" width="8.5703125" style="16" bestFit="1" customWidth="1"/>
    <col min="15" max="15" width="10.140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8.140625" style="16" customWidth="1"/>
    <col min="21" max="21" width="11.28515625" style="16" bestFit="1" customWidth="1"/>
    <col min="22" max="22" width="12.7109375" style="16" bestFit="1" customWidth="1"/>
    <col min="23" max="23" width="11" style="16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'29'!M3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234.81721114626546</v>
      </c>
      <c r="C4" s="61">
        <f>'29'!L4</f>
        <v>54.60865375494545</v>
      </c>
      <c r="D4" s="25">
        <v>0</v>
      </c>
      <c r="E4" s="24">
        <v>0</v>
      </c>
      <c r="F4" s="62">
        <f>C4*1.1</f>
        <v>60.06951913044</v>
      </c>
      <c r="G4" s="25">
        <v>0</v>
      </c>
      <c r="H4" s="24">
        <v>0</v>
      </c>
      <c r="I4" s="61">
        <f>F4</f>
        <v>60.06951913044</v>
      </c>
      <c r="J4" s="25">
        <v>0</v>
      </c>
      <c r="K4" s="25">
        <v>0</v>
      </c>
      <c r="L4" s="61">
        <f>I4</f>
        <v>60.06951913044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'22'!L5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308.39728005940407</v>
      </c>
      <c r="C6" s="25">
        <v>0</v>
      </c>
      <c r="D6" s="24">
        <v>0</v>
      </c>
      <c r="E6" s="61">
        <f>'29'!N6</f>
        <v>74.853708752282529</v>
      </c>
      <c r="F6" s="25">
        <v>0</v>
      </c>
      <c r="G6" s="24">
        <v>0</v>
      </c>
      <c r="H6" s="61">
        <f>E6</f>
        <v>74.853708752282529</v>
      </c>
      <c r="I6" s="25">
        <v>0</v>
      </c>
      <c r="J6" s="24">
        <v>0</v>
      </c>
      <c r="K6" s="62">
        <f>H6*1.06</f>
        <v>79.344931277419491</v>
      </c>
      <c r="L6" s="25">
        <v>0</v>
      </c>
      <c r="M6" s="24">
        <v>0</v>
      </c>
      <c r="N6" s="61">
        <f>K6</f>
        <v>79.344931277419491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65.650536495530176</v>
      </c>
      <c r="C7" s="61">
        <f>'29'!L7</f>
        <v>16.170082880672457</v>
      </c>
      <c r="D7" s="24">
        <v>0</v>
      </c>
      <c r="E7" s="24">
        <v>0</v>
      </c>
      <c r="F7" s="62">
        <f>C7*1.02</f>
        <v>16.493484538285905</v>
      </c>
      <c r="G7" s="24">
        <v>0</v>
      </c>
      <c r="H7" s="25">
        <v>0</v>
      </c>
      <c r="I7" s="61">
        <f>F7</f>
        <v>16.493484538285905</v>
      </c>
      <c r="J7" s="24">
        <v>0</v>
      </c>
      <c r="K7" s="25">
        <v>0</v>
      </c>
      <c r="L7" s="61">
        <f>I7</f>
        <v>16.493484538285905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84.440266521397547</v>
      </c>
      <c r="C8" s="24">
        <v>0</v>
      </c>
      <c r="D8" s="24">
        <v>0</v>
      </c>
      <c r="E8" s="61">
        <f>'29'!N8</f>
        <v>20.347052173830733</v>
      </c>
      <c r="F8" s="24">
        <v>0</v>
      </c>
      <c r="G8" s="24">
        <v>0</v>
      </c>
      <c r="H8" s="62">
        <f>E8*1.05</f>
        <v>21.364404782522271</v>
      </c>
      <c r="I8" s="24">
        <v>0</v>
      </c>
      <c r="J8" s="24">
        <v>0</v>
      </c>
      <c r="K8" s="61">
        <f>H8</f>
        <v>21.364404782522271</v>
      </c>
      <c r="L8" s="24">
        <v>0</v>
      </c>
      <c r="M8" s="24">
        <v>0</v>
      </c>
      <c r="N8" s="61">
        <f>K8</f>
        <v>21.364404782522271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1066.31</v>
      </c>
    </row>
    <row r="10" spans="1:25" x14ac:dyDescent="0.2">
      <c r="B10" s="28">
        <f t="shared" ref="B10:N10" si="6">SUM(B3:B9)</f>
        <v>893.30529422259724</v>
      </c>
      <c r="C10" s="29">
        <f t="shared" si="6"/>
        <v>70.778736635617904</v>
      </c>
      <c r="D10" s="29">
        <f t="shared" si="6"/>
        <v>50</v>
      </c>
      <c r="E10" s="29">
        <f t="shared" si="6"/>
        <v>95.200760926113261</v>
      </c>
      <c r="F10" s="29">
        <f t="shared" si="6"/>
        <v>76.563003668725912</v>
      </c>
      <c r="G10" s="29">
        <f t="shared" si="6"/>
        <v>50</v>
      </c>
      <c r="H10" s="29">
        <f t="shared" si="6"/>
        <v>96.2181135348048</v>
      </c>
      <c r="I10" s="29">
        <f t="shared" si="6"/>
        <v>76.563003668725912</v>
      </c>
      <c r="J10" s="29">
        <f t="shared" si="6"/>
        <v>50</v>
      </c>
      <c r="K10" s="29">
        <f t="shared" si="6"/>
        <v>100.70933605994176</v>
      </c>
      <c r="L10" s="29">
        <f t="shared" si="6"/>
        <v>76.563003668725912</v>
      </c>
      <c r="M10" s="29">
        <f t="shared" si="6"/>
        <v>50</v>
      </c>
      <c r="N10" s="29">
        <f t="shared" si="6"/>
        <v>100.70933605994176</v>
      </c>
      <c r="Q10" s="29">
        <f>SUM(Q3:Q9)</f>
        <v>548.40000000000009</v>
      </c>
      <c r="R10" s="26"/>
      <c r="S10" s="29">
        <f>SUM(S3:S9)</f>
        <v>10950.480000000001</v>
      </c>
      <c r="T10" s="30">
        <f>Q10/S10</f>
        <v>5.0079996493304406E-2</v>
      </c>
      <c r="U10" s="29">
        <f>SUM(U3:U9)</f>
        <v>12478.16</v>
      </c>
      <c r="V10" s="30">
        <f>B10/U10</f>
        <v>7.158950472045536E-2</v>
      </c>
      <c r="W10" s="26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2026</v>
      </c>
      <c r="B12" s="24">
        <f>SUM(C12:N12)</f>
        <v>849.19359471887037</v>
      </c>
      <c r="C12" s="61">
        <f>'29'!C10</f>
        <v>65.497253118345853</v>
      </c>
      <c r="D12" s="61">
        <f>'29'!D10</f>
        <v>50</v>
      </c>
      <c r="E12" s="61">
        <f>'29'!E10</f>
        <v>89.994851297535689</v>
      </c>
      <c r="F12" s="61">
        <f>'29'!F10</f>
        <v>70.778736635617904</v>
      </c>
      <c r="G12" s="61">
        <f>'29'!G10</f>
        <v>50</v>
      </c>
      <c r="H12" s="61">
        <f>'29'!H10</f>
        <v>90.963758543908583</v>
      </c>
      <c r="I12" s="61">
        <f>'29'!I10</f>
        <v>70.778736635617904</v>
      </c>
      <c r="J12" s="61">
        <f>'29'!J10</f>
        <v>50</v>
      </c>
      <c r="K12" s="61">
        <f>'29'!K10</f>
        <v>95.200760926113261</v>
      </c>
      <c r="L12" s="61">
        <f>'29'!L10</f>
        <v>70.778736635617904</v>
      </c>
      <c r="M12" s="61">
        <f>'29'!M10</f>
        <v>50</v>
      </c>
      <c r="N12" s="61">
        <f>'29'!N10</f>
        <v>95.200760926113261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5.1945398290869423E-2</v>
      </c>
      <c r="C13" s="27">
        <f t="shared" si="7"/>
        <v>8.0636717813631506E-2</v>
      </c>
      <c r="D13" s="27">
        <f t="shared" si="7"/>
        <v>0</v>
      </c>
      <c r="E13" s="27">
        <f t="shared" si="7"/>
        <v>5.7846749603108961E-2</v>
      </c>
      <c r="F13" s="27">
        <f t="shared" si="7"/>
        <v>8.1723230846666439E-2</v>
      </c>
      <c r="G13" s="27">
        <f t="shared" si="7"/>
        <v>0</v>
      </c>
      <c r="H13" s="27">
        <f t="shared" si="7"/>
        <v>5.7763169365521755E-2</v>
      </c>
      <c r="I13" s="27">
        <f t="shared" si="7"/>
        <v>8.1723230846666439E-2</v>
      </c>
      <c r="J13" s="27">
        <f t="shared" si="7"/>
        <v>0</v>
      </c>
      <c r="K13" s="27">
        <f t="shared" si="7"/>
        <v>5.7862721686686817E-2</v>
      </c>
      <c r="L13" s="27">
        <f t="shared" si="7"/>
        <v>8.1723230846666439E-2</v>
      </c>
      <c r="M13" s="27">
        <f t="shared" si="7"/>
        <v>0</v>
      </c>
      <c r="N13" s="27">
        <f t="shared" si="7"/>
        <v>5.7862721686686817E-2</v>
      </c>
      <c r="T13" s="33"/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T14" s="34" t="s">
        <v>57</v>
      </c>
      <c r="U14" s="27">
        <f t="shared" ref="U14" si="8">U12/U10</f>
        <v>0</v>
      </c>
    </row>
  </sheetData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8" sqref="F8"/>
    </sheetView>
  </sheetViews>
  <sheetFormatPr defaultRowHeight="15" outlineLevelCol="1" x14ac:dyDescent="0.25"/>
  <cols>
    <col min="1" max="1" width="8.85546875" style="11" customWidth="1"/>
    <col min="2" max="2" width="4.85546875" hidden="1" customWidth="1" outlineLevel="1"/>
    <col min="3" max="3" width="6" customWidth="1" collapsed="1"/>
    <col min="4" max="5" width="8" bestFit="1" customWidth="1"/>
    <col min="6" max="6" width="8.7109375" bestFit="1" customWidth="1"/>
    <col min="7" max="8" width="8.7109375" customWidth="1"/>
  </cols>
  <sheetData>
    <row r="1" spans="1:10" x14ac:dyDescent="0.25">
      <c r="A1" s="7" t="s">
        <v>66</v>
      </c>
      <c r="B1" s="44" t="s">
        <v>65</v>
      </c>
      <c r="C1" s="44" t="s">
        <v>67</v>
      </c>
      <c r="D1" s="44" t="s">
        <v>68</v>
      </c>
      <c r="E1" s="44" t="s">
        <v>69</v>
      </c>
      <c r="F1" s="44" t="s">
        <v>79</v>
      </c>
      <c r="G1" s="44" t="s">
        <v>80</v>
      </c>
      <c r="H1" s="44" t="s">
        <v>81</v>
      </c>
      <c r="I1" s="44" t="s">
        <v>82</v>
      </c>
      <c r="J1" s="44" t="s">
        <v>83</v>
      </c>
    </row>
    <row r="2" spans="1:10" x14ac:dyDescent="0.25">
      <c r="A2" s="12" t="s">
        <v>46</v>
      </c>
      <c r="B2" s="40">
        <v>10.5</v>
      </c>
      <c r="C2" s="41">
        <v>86.35</v>
      </c>
      <c r="D2" s="9">
        <v>101.35</v>
      </c>
      <c r="E2" s="8">
        <f>SUM(Mthly!E2:E4)</f>
        <v>128.9</v>
      </c>
      <c r="F2" s="8">
        <f>SUM(Mthly!F2:F4)</f>
        <v>133.4735</v>
      </c>
      <c r="G2" s="8">
        <f>SUM(Mthly!G2:G4)</f>
        <v>138.60834500000001</v>
      </c>
      <c r="H2" s="8">
        <f>SUM(Mthly!H2:H4)</f>
        <v>144.11148845000002</v>
      </c>
      <c r="I2" s="8">
        <f>SUM(Mthly!I2:I4)</f>
        <v>150.01217876450002</v>
      </c>
      <c r="J2" s="8">
        <f>SUM(Mthly!J2:J4)</f>
        <v>156.34216583064503</v>
      </c>
    </row>
    <row r="3" spans="1:10" x14ac:dyDescent="0.25">
      <c r="A3" s="12" t="s">
        <v>47</v>
      </c>
      <c r="B3" s="41">
        <v>11.25</v>
      </c>
      <c r="C3" s="41">
        <v>80.349999999999994</v>
      </c>
      <c r="D3" s="9">
        <v>160.05000000000001</v>
      </c>
      <c r="E3" s="8">
        <f>SUM(Mthly!E5:E7)</f>
        <v>131.24150000000003</v>
      </c>
      <c r="F3" s="8">
        <f>SUM(Mthly!F5:F7)</f>
        <v>136.24242500000003</v>
      </c>
      <c r="G3" s="8">
        <f>SUM(Mthly!G5:G7)</f>
        <v>141.60361325000002</v>
      </c>
      <c r="H3" s="8">
        <f>SUM(Mthly!H5:H7)</f>
        <v>147.35383105250003</v>
      </c>
      <c r="I3" s="8">
        <f>SUM(Mthly!I5:I7)</f>
        <v>153.52431725592504</v>
      </c>
      <c r="J3" s="8">
        <f>SUM(Mthly!J5:J7)</f>
        <v>160.14900734061729</v>
      </c>
    </row>
    <row r="4" spans="1:10" x14ac:dyDescent="0.25">
      <c r="A4" s="12" t="s">
        <v>48</v>
      </c>
      <c r="B4" s="41">
        <v>22.2</v>
      </c>
      <c r="C4" s="41">
        <v>75.05</v>
      </c>
      <c r="D4" s="8">
        <f>SUM(Mthly!D8:D10)</f>
        <v>128.9</v>
      </c>
      <c r="E4" s="8">
        <f>SUM(Mthly!E8:E10)</f>
        <v>133.4735</v>
      </c>
      <c r="F4" s="8">
        <f>SUM(Mthly!F8:F10)</f>
        <v>138.60834500000001</v>
      </c>
      <c r="G4" s="8">
        <f>SUM(Mthly!G8:G10)</f>
        <v>144.11148845000002</v>
      </c>
      <c r="H4" s="8">
        <f>SUM(Mthly!H8:H10)</f>
        <v>150.01217876450002</v>
      </c>
      <c r="I4" s="8">
        <f>SUM(Mthly!I8:I10)</f>
        <v>156.34216583064503</v>
      </c>
      <c r="J4" s="8">
        <f>SUM(Mthly!J8:J10)</f>
        <v>163.13592682982048</v>
      </c>
    </row>
    <row r="5" spans="1:10" x14ac:dyDescent="0.25">
      <c r="A5" s="12" t="s">
        <v>49</v>
      </c>
      <c r="B5" s="42">
        <v>37.5</v>
      </c>
      <c r="C5" s="41">
        <v>82.85</v>
      </c>
      <c r="D5" s="8">
        <f>SUM(Mthly!D11:D13)</f>
        <v>116.15</v>
      </c>
      <c r="E5" s="8">
        <f>SUM(Mthly!E11:E13)</f>
        <v>133.4735</v>
      </c>
      <c r="F5" s="8">
        <f>SUM(Mthly!F11:F13)</f>
        <v>138.60834500000001</v>
      </c>
      <c r="G5" s="8">
        <f>SUM(Mthly!G11:G13)</f>
        <v>144.11148845000002</v>
      </c>
      <c r="H5" s="8">
        <f>SUM(Mthly!H11:H13)</f>
        <v>150.01217876450002</v>
      </c>
      <c r="I5" s="8">
        <f>SUM(Mthly!I11:I13)</f>
        <v>156.34216583064503</v>
      </c>
      <c r="J5" s="8">
        <f>SUM(Mthly!J11:J13)</f>
        <v>163.13592682982048</v>
      </c>
    </row>
    <row r="6" spans="1:10" x14ac:dyDescent="0.25">
      <c r="A6" s="10"/>
      <c r="B6" s="43">
        <f t="shared" ref="B6:C6" si="0">SUM(B2:B5)</f>
        <v>81.45</v>
      </c>
      <c r="C6" s="43">
        <f t="shared" si="0"/>
        <v>324.60000000000002</v>
      </c>
      <c r="D6" s="35">
        <f t="shared" ref="D6:E6" si="1">SUM(D2:D5)</f>
        <v>506.44999999999993</v>
      </c>
      <c r="E6" s="35">
        <f t="shared" si="1"/>
        <v>527.08850000000007</v>
      </c>
      <c r="F6" s="35">
        <f t="shared" ref="F6:G6" si="2">SUM(F2:F5)</f>
        <v>546.93261500000006</v>
      </c>
      <c r="G6" s="35">
        <f t="shared" si="2"/>
        <v>568.43493515000011</v>
      </c>
      <c r="H6" s="35">
        <f t="shared" ref="H6:I6" si="3">SUM(H2:H5)</f>
        <v>591.48967703150015</v>
      </c>
      <c r="I6" s="35">
        <f t="shared" si="3"/>
        <v>616.22082768171515</v>
      </c>
      <c r="J6" s="35">
        <f t="shared" ref="J6" si="4">SUM(J2:J5)</f>
        <v>642.7630268309033</v>
      </c>
    </row>
    <row r="7" spans="1:10" x14ac:dyDescent="0.25">
      <c r="B7" s="4"/>
      <c r="C7" s="45">
        <f t="shared" ref="C7:J7" si="5">C6-B6</f>
        <v>243.15000000000003</v>
      </c>
      <c r="D7" s="4">
        <f t="shared" si="5"/>
        <v>181.84999999999991</v>
      </c>
      <c r="E7" s="4">
        <f t="shared" si="5"/>
        <v>20.638500000000136</v>
      </c>
      <c r="F7" s="4">
        <f t="shared" si="5"/>
        <v>19.844114999999988</v>
      </c>
      <c r="G7" s="4">
        <f t="shared" si="5"/>
        <v>21.50232015000006</v>
      </c>
      <c r="H7" s="4">
        <f t="shared" si="5"/>
        <v>23.054741881500036</v>
      </c>
      <c r="I7" s="4">
        <f t="shared" si="5"/>
        <v>24.731150650215</v>
      </c>
      <c r="J7" s="4">
        <f t="shared" si="5"/>
        <v>26.54219914918815</v>
      </c>
    </row>
    <row r="8" spans="1:10" x14ac:dyDescent="0.25">
      <c r="A8" s="12"/>
      <c r="B8" s="3"/>
      <c r="C8" s="3"/>
    </row>
  </sheetData>
  <pageMargins left="0.7" right="0.7" top="0.75" bottom="0.75" header="0.3" footer="0.3"/>
  <pageSetup orientation="landscape" r:id="rId1"/>
  <ignoredErrors>
    <ignoredError sqref="B6:D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7.28515625" style="55" customWidth="1"/>
    <col min="2" max="2" width="12.140625" style="53" bestFit="1" customWidth="1"/>
    <col min="3" max="3" width="11.140625" style="2" bestFit="1" customWidth="1"/>
    <col min="4" max="4" width="4.5703125" style="48" bestFit="1" customWidth="1"/>
    <col min="5" max="5" width="10" bestFit="1" customWidth="1"/>
    <col min="6" max="6" width="10" customWidth="1"/>
  </cols>
  <sheetData>
    <row r="1" spans="1:6" x14ac:dyDescent="0.25">
      <c r="A1" s="50"/>
      <c r="B1" s="50" t="s">
        <v>78</v>
      </c>
    </row>
    <row r="2" spans="1:6" x14ac:dyDescent="0.25">
      <c r="A2" s="54">
        <v>2015</v>
      </c>
      <c r="B2" s="51">
        <f>Qtrly!B6</f>
        <v>81.45</v>
      </c>
    </row>
    <row r="3" spans="1:6" x14ac:dyDescent="0.25">
      <c r="A3" s="50">
        <v>2016</v>
      </c>
      <c r="B3" s="52">
        <f>Qtrly!C6</f>
        <v>324.60000000000002</v>
      </c>
    </row>
    <row r="4" spans="1:6" x14ac:dyDescent="0.25">
      <c r="A4" s="50">
        <v>2017</v>
      </c>
      <c r="B4" s="52">
        <f>'17'!B10+C4</f>
        <v>589.78333333333342</v>
      </c>
      <c r="C4" s="2">
        <f>(5000)*0.04/12*5</f>
        <v>83.333333333333343</v>
      </c>
      <c r="D4" s="48">
        <v>30</v>
      </c>
      <c r="E4" s="4">
        <f>B4/12</f>
        <v>49.148611111111116</v>
      </c>
      <c r="F4" s="4">
        <f>E4*0.85</f>
        <v>41.776319444444447</v>
      </c>
    </row>
    <row r="5" spans="1:6" x14ac:dyDescent="0.25">
      <c r="A5" s="54">
        <v>2018</v>
      </c>
      <c r="B5" s="51">
        <f>'18'!B10+C5</f>
        <v>1510.6798333333331</v>
      </c>
      <c r="C5" s="2">
        <f>(24000+B4)*0.04</f>
        <v>983.5913333333333</v>
      </c>
      <c r="D5" s="48">
        <v>31</v>
      </c>
      <c r="E5" s="4">
        <f t="shared" ref="E5:E24" si="0">B5/12</f>
        <v>125.8899861111111</v>
      </c>
      <c r="F5" s="4">
        <f t="shared" ref="F5:F24" si="1">E5*0.85</f>
        <v>107.00648819444443</v>
      </c>
    </row>
    <row r="6" spans="1:6" x14ac:dyDescent="0.25">
      <c r="A6" s="54">
        <v>2019</v>
      </c>
      <c r="B6" s="52">
        <f>(Qtrly!F6+C4+C5+C6)*1.03</f>
        <v>3207.7130092500006</v>
      </c>
      <c r="C6" s="2">
        <f>(36000+B5)*0.04</f>
        <v>1500.4271933333334</v>
      </c>
      <c r="D6" s="48">
        <v>32</v>
      </c>
      <c r="E6" s="4">
        <f t="shared" si="0"/>
        <v>267.30941743750003</v>
      </c>
      <c r="F6" s="4">
        <f t="shared" si="1"/>
        <v>227.21300482187502</v>
      </c>
    </row>
    <row r="7" spans="1:6" x14ac:dyDescent="0.25">
      <c r="A7" s="54">
        <v>2020</v>
      </c>
      <c r="B7" s="52">
        <f>(Qtrly!G6+C4+C5+C6+C7)*1.03</f>
        <v>5092.4181749856007</v>
      </c>
      <c r="C7" s="2">
        <f>(42000+B6)*0.04</f>
        <v>1808.30852037</v>
      </c>
      <c r="D7" s="48">
        <v>33</v>
      </c>
      <c r="E7" s="4">
        <f t="shared" si="0"/>
        <v>424.36818124880006</v>
      </c>
      <c r="F7" s="4">
        <f t="shared" si="1"/>
        <v>360.71295406148005</v>
      </c>
    </row>
    <row r="8" spans="1:6" x14ac:dyDescent="0.25">
      <c r="A8" s="54">
        <v>2021</v>
      </c>
      <c r="B8" s="52">
        <f>(Qtrly!$H$6+C4+C5+C6+C7+C8)*1.03</f>
        <v>7303.5721879329512</v>
      </c>
      <c r="C8" s="2">
        <f>(48000+B7)*0.04</f>
        <v>2123.6967269994238</v>
      </c>
      <c r="D8" s="48">
        <v>34</v>
      </c>
      <c r="E8" s="4">
        <f t="shared" si="0"/>
        <v>608.63101566107923</v>
      </c>
      <c r="F8" s="4">
        <f t="shared" si="1"/>
        <v>517.33636331191735</v>
      </c>
    </row>
    <row r="9" spans="1:6" x14ac:dyDescent="0.25">
      <c r="A9" s="54">
        <v>2022</v>
      </c>
      <c r="B9" s="52">
        <f>(Qtrly!I6+SUM(C4:C9))*1.03</f>
        <v>9854.7524472455116</v>
      </c>
      <c r="C9" s="2">
        <f>(54000+B8)*0.04</f>
        <v>2452.1428875173183</v>
      </c>
      <c r="D9" s="48">
        <v>35</v>
      </c>
      <c r="E9" s="4">
        <f t="shared" si="0"/>
        <v>821.22937060379263</v>
      </c>
      <c r="F9" s="4">
        <f t="shared" si="1"/>
        <v>698.04496501322376</v>
      </c>
    </row>
    <row r="10" spans="1:6" x14ac:dyDescent="0.25">
      <c r="A10" s="54">
        <v>2023</v>
      </c>
      <c r="B10" s="52">
        <f>(Qtrly!J6+SUM(C4:C10))*1.03</f>
        <v>12512.906713195693</v>
      </c>
      <c r="C10" s="2">
        <f>(54000+B9)*0.04</f>
        <v>2554.1900978898207</v>
      </c>
      <c r="D10" s="48">
        <v>36</v>
      </c>
      <c r="E10" s="4">
        <f t="shared" si="0"/>
        <v>1042.7422260996411</v>
      </c>
      <c r="F10" s="4">
        <f t="shared" si="1"/>
        <v>886.3308921846949</v>
      </c>
    </row>
    <row r="11" spans="1:6" x14ac:dyDescent="0.25">
      <c r="A11" s="50">
        <v>2024</v>
      </c>
      <c r="B11" s="52">
        <f t="shared" ref="B11:B16" si="2">(B10*1.05)+C11</f>
        <v>16039.068317383306</v>
      </c>
      <c r="C11" s="2">
        <f>(60000+B10)*0.04</f>
        <v>2900.5162685278278</v>
      </c>
      <c r="D11" s="48">
        <v>37</v>
      </c>
      <c r="E11" s="4">
        <f t="shared" si="0"/>
        <v>1336.5890264486088</v>
      </c>
      <c r="F11" s="4">
        <f t="shared" si="1"/>
        <v>1136.1006724813174</v>
      </c>
    </row>
    <row r="12" spans="1:6" x14ac:dyDescent="0.25">
      <c r="A12" s="50">
        <v>2025</v>
      </c>
      <c r="B12" s="52">
        <f t="shared" si="2"/>
        <v>19882.584465947806</v>
      </c>
      <c r="C12" s="2">
        <f t="shared" ref="C12:C24" si="3">(60000+B11)*0.04</f>
        <v>3041.5627326953322</v>
      </c>
      <c r="D12" s="48">
        <v>38</v>
      </c>
      <c r="E12" s="4">
        <f t="shared" si="0"/>
        <v>1656.8820388289839</v>
      </c>
      <c r="F12" s="4">
        <f t="shared" si="1"/>
        <v>1408.3497330046364</v>
      </c>
    </row>
    <row r="13" spans="1:6" x14ac:dyDescent="0.25">
      <c r="A13" s="50">
        <v>2027</v>
      </c>
      <c r="B13" s="52">
        <f t="shared" si="2"/>
        <v>24072.017067883109</v>
      </c>
      <c r="C13" s="2">
        <f t="shared" si="3"/>
        <v>3195.3033786379124</v>
      </c>
      <c r="D13" s="48">
        <v>39</v>
      </c>
      <c r="E13" s="4">
        <f t="shared" si="0"/>
        <v>2006.0014223235924</v>
      </c>
      <c r="F13" s="4">
        <f t="shared" si="1"/>
        <v>1705.1012089750534</v>
      </c>
    </row>
    <row r="14" spans="1:6" s="2" customFormat="1" x14ac:dyDescent="0.25">
      <c r="A14" s="50">
        <v>2028</v>
      </c>
      <c r="B14" s="52">
        <f t="shared" si="2"/>
        <v>28638.49860399259</v>
      </c>
      <c r="C14" s="2">
        <f t="shared" si="3"/>
        <v>3362.8806827153244</v>
      </c>
      <c r="D14" s="48">
        <v>40</v>
      </c>
      <c r="E14" s="4">
        <f t="shared" si="0"/>
        <v>2386.5415503327158</v>
      </c>
      <c r="F14" s="4">
        <f t="shared" si="1"/>
        <v>2028.5603177828084</v>
      </c>
    </row>
    <row r="15" spans="1:6" s="2" customFormat="1" x14ac:dyDescent="0.25">
      <c r="A15" s="50">
        <v>2029</v>
      </c>
      <c r="B15" s="52">
        <f t="shared" si="2"/>
        <v>33615.963478351929</v>
      </c>
      <c r="C15" s="2">
        <f t="shared" si="3"/>
        <v>3545.5399441597037</v>
      </c>
      <c r="D15" s="48">
        <v>41</v>
      </c>
      <c r="E15" s="4">
        <f t="shared" si="0"/>
        <v>2801.3302898626607</v>
      </c>
      <c r="F15" s="4">
        <f t="shared" si="1"/>
        <v>2381.1307463832613</v>
      </c>
    </row>
    <row r="16" spans="1:6" s="2" customFormat="1" x14ac:dyDescent="0.25">
      <c r="A16" s="50">
        <v>2030</v>
      </c>
      <c r="B16" s="52">
        <f t="shared" si="2"/>
        <v>39041.400191403605</v>
      </c>
      <c r="C16" s="2">
        <f t="shared" si="3"/>
        <v>3744.6385391340773</v>
      </c>
      <c r="D16" s="48">
        <v>42</v>
      </c>
      <c r="E16" s="4">
        <f t="shared" si="0"/>
        <v>3253.4500159503004</v>
      </c>
      <c r="F16" s="4">
        <f t="shared" si="1"/>
        <v>2765.4325135577551</v>
      </c>
    </row>
    <row r="17" spans="1:6" s="2" customFormat="1" x14ac:dyDescent="0.25">
      <c r="A17" s="50">
        <v>2031</v>
      </c>
      <c r="B17" s="52">
        <f t="shared" ref="B17:B24" si="4">(B16*1.05)+C17</f>
        <v>44955.126208629932</v>
      </c>
      <c r="C17" s="2">
        <f t="shared" si="3"/>
        <v>3961.6560076561441</v>
      </c>
      <c r="D17" s="48">
        <v>43</v>
      </c>
      <c r="E17" s="4">
        <f t="shared" si="0"/>
        <v>3746.2605173858278</v>
      </c>
      <c r="F17" s="4">
        <f t="shared" si="1"/>
        <v>3184.3214397779534</v>
      </c>
    </row>
    <row r="18" spans="1:6" x14ac:dyDescent="0.25">
      <c r="A18" s="50">
        <v>2032</v>
      </c>
      <c r="B18" s="52">
        <f t="shared" si="4"/>
        <v>51401.087567406626</v>
      </c>
      <c r="C18" s="2">
        <f t="shared" si="3"/>
        <v>4198.2050483451967</v>
      </c>
      <c r="D18" s="48">
        <v>44</v>
      </c>
      <c r="E18" s="4">
        <f t="shared" si="0"/>
        <v>4283.4239639505522</v>
      </c>
      <c r="F18" s="4">
        <f t="shared" si="1"/>
        <v>3640.9103693579691</v>
      </c>
    </row>
    <row r="19" spans="1:6" x14ac:dyDescent="0.25">
      <c r="A19" s="50">
        <v>2033</v>
      </c>
      <c r="B19" s="52">
        <f t="shared" si="4"/>
        <v>58427.185448473225</v>
      </c>
      <c r="C19" s="2">
        <f t="shared" si="3"/>
        <v>4456.043502696265</v>
      </c>
      <c r="D19" s="48">
        <v>45</v>
      </c>
      <c r="E19" s="4">
        <f t="shared" si="0"/>
        <v>4868.9321207061021</v>
      </c>
      <c r="F19" s="4">
        <f t="shared" si="1"/>
        <v>4138.5923026001865</v>
      </c>
    </row>
    <row r="20" spans="1:6" x14ac:dyDescent="0.25">
      <c r="A20" s="50">
        <v>2034</v>
      </c>
      <c r="B20" s="52">
        <f t="shared" si="4"/>
        <v>66085.632138835819</v>
      </c>
      <c r="C20" s="2">
        <f t="shared" si="3"/>
        <v>4737.0874179389293</v>
      </c>
      <c r="D20" s="48">
        <v>46</v>
      </c>
      <c r="E20" s="4">
        <f t="shared" si="0"/>
        <v>5507.1360115696516</v>
      </c>
      <c r="F20" s="4">
        <f t="shared" si="1"/>
        <v>4681.0656098342033</v>
      </c>
    </row>
    <row r="21" spans="1:6" x14ac:dyDescent="0.25">
      <c r="A21" s="50">
        <v>2035</v>
      </c>
      <c r="B21" s="52">
        <f t="shared" si="4"/>
        <v>74433.339031331037</v>
      </c>
      <c r="C21" s="2">
        <f t="shared" si="3"/>
        <v>5043.4252855534332</v>
      </c>
      <c r="D21" s="48">
        <v>47</v>
      </c>
      <c r="E21" s="4">
        <f t="shared" si="0"/>
        <v>6202.7782526109195</v>
      </c>
      <c r="F21" s="4">
        <f t="shared" si="1"/>
        <v>5272.3615147192813</v>
      </c>
    </row>
    <row r="22" spans="1:6" s="3" customFormat="1" x14ac:dyDescent="0.25">
      <c r="A22" s="50">
        <v>2036</v>
      </c>
      <c r="B22" s="52">
        <f t="shared" si="4"/>
        <v>83532.339544150833</v>
      </c>
      <c r="C22" s="2">
        <f t="shared" si="3"/>
        <v>5377.3335612532419</v>
      </c>
      <c r="D22" s="48">
        <v>48</v>
      </c>
      <c r="E22" s="4">
        <f t="shared" si="0"/>
        <v>6961.0282953459027</v>
      </c>
      <c r="F22" s="4">
        <f t="shared" si="1"/>
        <v>5916.8740510440175</v>
      </c>
    </row>
    <row r="23" spans="1:6" x14ac:dyDescent="0.25">
      <c r="A23" s="50">
        <v>2037</v>
      </c>
      <c r="B23" s="52">
        <f t="shared" si="4"/>
        <v>93450.250103124417</v>
      </c>
      <c r="C23" s="2">
        <f t="shared" si="3"/>
        <v>5741.2935817660336</v>
      </c>
      <c r="D23" s="48">
        <v>49</v>
      </c>
      <c r="E23" s="4">
        <f t="shared" si="0"/>
        <v>7787.5208419270348</v>
      </c>
      <c r="F23" s="4">
        <f t="shared" si="1"/>
        <v>6619.3927156379796</v>
      </c>
    </row>
    <row r="24" spans="1:6" x14ac:dyDescent="0.25">
      <c r="A24" s="50">
        <v>2038</v>
      </c>
      <c r="B24" s="52">
        <f t="shared" si="4"/>
        <v>104260.77261240562</v>
      </c>
      <c r="C24" s="2">
        <f t="shared" si="3"/>
        <v>6138.0100041249771</v>
      </c>
      <c r="D24" s="48">
        <v>50</v>
      </c>
      <c r="E24" s="4">
        <f t="shared" si="0"/>
        <v>8688.397717700469</v>
      </c>
      <c r="F24" s="4">
        <f t="shared" si="1"/>
        <v>7385.1380600453986</v>
      </c>
    </row>
    <row r="26" spans="1:6" x14ac:dyDescent="0.25">
      <c r="B26" s="52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="80" zoomScaleNormal="80" workbookViewId="0">
      <pane xSplit="1" topLeftCell="B1" activePane="topRight" state="frozen"/>
      <selection pane="topRight" activeCell="F31" sqref="F31"/>
    </sheetView>
  </sheetViews>
  <sheetFormatPr defaultColWidth="9.140625" defaultRowHeight="12.75" x14ac:dyDescent="0.2"/>
  <cols>
    <col min="1" max="1" width="10" style="16" customWidth="1"/>
    <col min="2" max="2" width="10" style="16" bestFit="1" customWidth="1"/>
    <col min="3" max="4" width="5" style="16" bestFit="1" customWidth="1"/>
    <col min="5" max="5" width="7.140625" style="16" bestFit="1" customWidth="1"/>
    <col min="6" max="7" width="5" style="16" bestFit="1" customWidth="1"/>
    <col min="8" max="8" width="7.140625" style="16" bestFit="1" customWidth="1"/>
    <col min="9" max="10" width="5" style="16" bestFit="1" customWidth="1"/>
    <col min="11" max="12" width="7.140625" style="16" bestFit="1" customWidth="1"/>
    <col min="13" max="13" width="5" style="16" bestFit="1" customWidth="1"/>
    <col min="14" max="14" width="7.140625" style="16" bestFit="1" customWidth="1"/>
    <col min="15" max="15" width="9.7109375" style="22" bestFit="1" customWidth="1"/>
    <col min="16" max="16" width="9.7109375" style="16" bestFit="1" customWidth="1"/>
    <col min="17" max="17" width="10" style="16" bestFit="1" customWidth="1"/>
    <col min="18" max="18" width="9.42578125" style="16" bestFit="1" customWidth="1"/>
    <col min="19" max="19" width="11.140625" style="16" bestFit="1" customWidth="1"/>
    <col min="20" max="20" width="8.140625" style="16" customWidth="1"/>
    <col min="21" max="21" width="13.42578125" style="16" bestFit="1" customWidth="1"/>
    <col min="22" max="22" width="12.7109375" style="16" bestFit="1" customWidth="1"/>
    <col min="23" max="23" width="11" style="16" customWidth="1"/>
    <col min="24" max="16384" width="9.140625" style="16"/>
  </cols>
  <sheetData>
    <row r="1" spans="1:23" x14ac:dyDescent="0.2">
      <c r="B1" s="17" t="s">
        <v>44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4</v>
      </c>
      <c r="H1" s="17" t="s">
        <v>20</v>
      </c>
      <c r="I1" s="17" t="s">
        <v>21</v>
      </c>
      <c r="J1" s="17" t="s">
        <v>22</v>
      </c>
      <c r="K1" s="17" t="s">
        <v>51</v>
      </c>
      <c r="L1" s="17" t="s">
        <v>55</v>
      </c>
      <c r="M1" s="17" t="s">
        <v>59</v>
      </c>
      <c r="N1" s="17" t="s">
        <v>60</v>
      </c>
      <c r="O1" s="18" t="s">
        <v>14</v>
      </c>
      <c r="P1" s="19" t="s">
        <v>25</v>
      </c>
      <c r="Q1" s="20" t="s">
        <v>24</v>
      </c>
      <c r="R1" s="17" t="s">
        <v>23</v>
      </c>
      <c r="S1" s="19" t="s">
        <v>15</v>
      </c>
      <c r="T1" s="17" t="s">
        <v>41</v>
      </c>
      <c r="U1" s="17" t="s">
        <v>42</v>
      </c>
      <c r="V1" s="17" t="s">
        <v>40</v>
      </c>
      <c r="W1" s="17" t="s">
        <v>43</v>
      </c>
    </row>
    <row r="2" spans="1:23" x14ac:dyDescent="0.2">
      <c r="A2" s="21" t="s">
        <v>38</v>
      </c>
    </row>
    <row r="3" spans="1:23" x14ac:dyDescent="0.2">
      <c r="A3" s="16" t="s">
        <v>50</v>
      </c>
      <c r="B3" s="23">
        <f>SUM(C3:N3)</f>
        <v>44.25</v>
      </c>
      <c r="C3" s="24">
        <v>0</v>
      </c>
      <c r="D3" s="24">
        <v>0</v>
      </c>
      <c r="E3" s="24">
        <v>10.5</v>
      </c>
      <c r="F3" s="24">
        <v>0</v>
      </c>
      <c r="G3" s="24">
        <v>0</v>
      </c>
      <c r="H3" s="25">
        <v>11.25</v>
      </c>
      <c r="I3" s="24">
        <v>0</v>
      </c>
      <c r="J3" s="24">
        <v>0</v>
      </c>
      <c r="K3" s="25">
        <v>11.25</v>
      </c>
      <c r="L3" s="24">
        <v>0</v>
      </c>
      <c r="M3" s="24">
        <v>0</v>
      </c>
      <c r="N3" s="25">
        <v>11.25</v>
      </c>
      <c r="O3" s="22">
        <v>15</v>
      </c>
      <c r="P3" s="24">
        <v>3</v>
      </c>
      <c r="Q3" s="24">
        <f t="shared" ref="Q3:Q4" si="0">O3*P3</f>
        <v>45</v>
      </c>
      <c r="R3" s="26">
        <f t="shared" ref="R3:R4" si="1">S3/O3</f>
        <v>98.328000000000003</v>
      </c>
      <c r="S3" s="24">
        <v>1474.92</v>
      </c>
      <c r="T3" s="27">
        <f t="shared" ref="T3:T4" si="2">P3/R3</f>
        <v>3.0510129362948498E-2</v>
      </c>
      <c r="U3" s="24">
        <v>1538.25</v>
      </c>
      <c r="V3" s="27">
        <f t="shared" ref="V3" si="3">Q3/U3</f>
        <v>2.9254022428083861E-2</v>
      </c>
      <c r="W3" s="26">
        <f t="shared" ref="W3" si="4">U3-S3</f>
        <v>63.329999999999927</v>
      </c>
    </row>
    <row r="4" spans="1:23" x14ac:dyDescent="0.2">
      <c r="A4" s="16" t="s">
        <v>52</v>
      </c>
      <c r="B4" s="23">
        <f>SUM(C4:N4)</f>
        <v>15.3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5">
        <v>0</v>
      </c>
      <c r="I4" s="24">
        <v>0</v>
      </c>
      <c r="J4" s="24">
        <v>0</v>
      </c>
      <c r="K4" s="25">
        <v>0</v>
      </c>
      <c r="L4" s="25">
        <v>15.3</v>
      </c>
      <c r="M4" s="24">
        <v>0</v>
      </c>
      <c r="N4" s="25">
        <v>0</v>
      </c>
      <c r="O4" s="22">
        <v>15</v>
      </c>
      <c r="P4" s="24">
        <v>4.08</v>
      </c>
      <c r="Q4" s="24">
        <f t="shared" si="0"/>
        <v>61.2</v>
      </c>
      <c r="R4" s="26">
        <f t="shared" si="1"/>
        <v>79.114000000000004</v>
      </c>
      <c r="S4" s="24">
        <v>1186.71</v>
      </c>
      <c r="T4" s="27">
        <f t="shared" si="2"/>
        <v>5.1571150491695528E-2</v>
      </c>
      <c r="U4" s="24">
        <v>1314.15</v>
      </c>
      <c r="V4" s="27">
        <f t="shared" ref="V4" si="5">Q4/U4</f>
        <v>4.6570026252710874E-2</v>
      </c>
      <c r="W4" s="26">
        <f t="shared" ref="W4" si="6">U4-S4</f>
        <v>127.44000000000005</v>
      </c>
    </row>
    <row r="5" spans="1:23" x14ac:dyDescent="0.2">
      <c r="A5" s="16" t="s">
        <v>45</v>
      </c>
      <c r="B5" s="23">
        <f>SUM(C5:N5)</f>
        <v>21.9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  <c r="I5" s="24">
        <v>0</v>
      </c>
      <c r="J5" s="24">
        <v>0</v>
      </c>
      <c r="K5" s="25">
        <v>10.95</v>
      </c>
      <c r="L5" s="24">
        <v>0</v>
      </c>
      <c r="M5" s="24">
        <v>0</v>
      </c>
      <c r="N5" s="25">
        <v>10.95</v>
      </c>
      <c r="O5" s="22">
        <v>15</v>
      </c>
      <c r="P5" s="24">
        <v>2.92</v>
      </c>
      <c r="Q5" s="24">
        <f t="shared" ref="Q5" si="7">O5*P5</f>
        <v>43.8</v>
      </c>
      <c r="R5" s="26">
        <f t="shared" ref="R5" si="8">S5/O5</f>
        <v>82.51466666666667</v>
      </c>
      <c r="S5" s="24">
        <v>1237.72</v>
      </c>
      <c r="T5" s="27">
        <f t="shared" ref="T5" si="9">P5/R5</f>
        <v>3.5387648256471574E-2</v>
      </c>
      <c r="U5" s="24">
        <v>1216.1400000000001</v>
      </c>
      <c r="V5" s="27">
        <f t="shared" ref="V5" si="10">Q5/U5</f>
        <v>3.6015590310326105E-2</v>
      </c>
      <c r="W5" s="26">
        <f t="shared" ref="W5" si="11">U5-S5</f>
        <v>-21.579999999999927</v>
      </c>
    </row>
    <row r="6" spans="1:23" x14ac:dyDescent="0.2">
      <c r="A6" s="16" t="s">
        <v>39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P6" s="24"/>
      <c r="Q6" s="24"/>
      <c r="R6" s="26"/>
      <c r="S6" s="24"/>
      <c r="T6" s="27"/>
      <c r="U6" s="24">
        <v>310.64999999999998</v>
      </c>
    </row>
    <row r="7" spans="1:23" x14ac:dyDescent="0.2">
      <c r="B7" s="28">
        <f>SUM(B3:B6)</f>
        <v>81.449999999999989</v>
      </c>
      <c r="C7" s="29">
        <f>SUM(C3:C6)</f>
        <v>0</v>
      </c>
      <c r="D7" s="29">
        <f t="shared" ref="D7:N7" si="12">SUM(D3:D6)</f>
        <v>0</v>
      </c>
      <c r="E7" s="29">
        <f t="shared" si="12"/>
        <v>10.5</v>
      </c>
      <c r="F7" s="29">
        <f t="shared" si="12"/>
        <v>0</v>
      </c>
      <c r="G7" s="29">
        <f t="shared" si="12"/>
        <v>0</v>
      </c>
      <c r="H7" s="29">
        <f t="shared" si="12"/>
        <v>11.25</v>
      </c>
      <c r="I7" s="29">
        <f t="shared" si="12"/>
        <v>0</v>
      </c>
      <c r="J7" s="29">
        <f t="shared" si="12"/>
        <v>0</v>
      </c>
      <c r="K7" s="29">
        <f t="shared" si="12"/>
        <v>22.2</v>
      </c>
      <c r="L7" s="29">
        <f t="shared" si="12"/>
        <v>15.3</v>
      </c>
      <c r="M7" s="29">
        <f t="shared" si="12"/>
        <v>0</v>
      </c>
      <c r="N7" s="29">
        <f t="shared" si="12"/>
        <v>22.2</v>
      </c>
      <c r="Q7" s="29">
        <f>SUM(Q3:Q6)</f>
        <v>150</v>
      </c>
      <c r="R7" s="26"/>
      <c r="S7" s="29">
        <f>SUM(S3:S6)</f>
        <v>3899.3500000000004</v>
      </c>
      <c r="T7" s="30">
        <f>Q7/S7</f>
        <v>3.8467949786502878E-2</v>
      </c>
      <c r="U7" s="29">
        <f>SUM(U3:U6)</f>
        <v>4379.1899999999996</v>
      </c>
      <c r="V7" s="30">
        <f>Q7/U7</f>
        <v>3.425290978468621E-2</v>
      </c>
      <c r="W7" s="26">
        <f>SUM(W3:W6)</f>
        <v>169.19000000000005</v>
      </c>
    </row>
    <row r="8" spans="1:23" x14ac:dyDescent="0.2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23" x14ac:dyDescent="0.2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T9" s="33" t="s">
        <v>56</v>
      </c>
      <c r="U9" s="24">
        <v>39.75</v>
      </c>
    </row>
    <row r="10" spans="1:23" x14ac:dyDescent="0.2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T10" s="34" t="s">
        <v>57</v>
      </c>
      <c r="U10" s="27">
        <f t="shared" ref="U10" si="13">U9/U7</f>
        <v>9.0770210929418463E-3</v>
      </c>
    </row>
    <row r="11" spans="1:23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S11" s="27"/>
    </row>
  </sheetData>
  <sortState ref="A3:W9">
    <sortCondition ref="A3:A9"/>
  </sortState>
  <pageMargins left="0.7" right="0.7" top="0.75" bottom="0.75" header="0.3" footer="0.3"/>
  <pageSetup scale="57" fitToHeight="0" orientation="landscape" r:id="rId1"/>
  <ignoredErrors>
    <ignoredError sqref="B4:B5 B3" formulaRange="1"/>
    <ignoredError sqref="T7 V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selection activeCell="B13" sqref="B13"/>
    </sheetView>
  </sheetViews>
  <sheetFormatPr defaultRowHeight="15" x14ac:dyDescent="0.25"/>
  <cols>
    <col min="1" max="1" width="7.28515625" style="55" customWidth="1"/>
    <col min="2" max="2" width="12.140625" style="53" bestFit="1" customWidth="1"/>
    <col min="3" max="3" width="11.140625" style="2" bestFit="1" customWidth="1"/>
    <col min="4" max="4" width="4.5703125" style="48" bestFit="1" customWidth="1"/>
    <col min="5" max="5" width="10" bestFit="1" customWidth="1"/>
    <col min="6" max="6" width="10" customWidth="1"/>
  </cols>
  <sheetData>
    <row r="1" spans="1:6" x14ac:dyDescent="0.25">
      <c r="A1" s="50"/>
      <c r="B1" s="50" t="s">
        <v>78</v>
      </c>
    </row>
    <row r="2" spans="1:6" x14ac:dyDescent="0.25">
      <c r="A2" s="54">
        <v>2015</v>
      </c>
      <c r="B2" s="51">
        <v>81.45</v>
      </c>
    </row>
    <row r="3" spans="1:6" x14ac:dyDescent="0.25">
      <c r="A3" s="50">
        <v>2016</v>
      </c>
      <c r="B3" s="52">
        <v>324.60000000000002</v>
      </c>
    </row>
    <row r="4" spans="1:6" x14ac:dyDescent="0.25">
      <c r="A4" s="50">
        <v>2017</v>
      </c>
      <c r="B4" s="52">
        <v>591.70333333333338</v>
      </c>
      <c r="C4" s="2">
        <v>83.333333333333343</v>
      </c>
      <c r="D4" s="48">
        <v>30</v>
      </c>
      <c r="E4" s="4">
        <v>49.308611111111112</v>
      </c>
      <c r="F4" s="4">
        <v>41.912319444444442</v>
      </c>
    </row>
    <row r="5" spans="1:6" x14ac:dyDescent="0.25">
      <c r="A5" s="54">
        <v>2018</v>
      </c>
      <c r="B5" s="51">
        <v>1514.7118333333333</v>
      </c>
      <c r="C5" s="2">
        <v>983.66813333333346</v>
      </c>
      <c r="D5" s="48">
        <v>31</v>
      </c>
      <c r="E5" s="4">
        <v>126.22598611111111</v>
      </c>
      <c r="F5" s="4">
        <v>107.29208819444445</v>
      </c>
    </row>
    <row r="6" spans="1:6" x14ac:dyDescent="0.25">
      <c r="A6" s="54">
        <v>2019</v>
      </c>
      <c r="B6" s="52">
        <v>3212.2765190100004</v>
      </c>
      <c r="C6" s="2">
        <v>1500.5884733333335</v>
      </c>
      <c r="D6" s="48">
        <v>32</v>
      </c>
      <c r="E6" s="4">
        <v>267.68970991750001</v>
      </c>
      <c r="F6" s="4">
        <v>227.53625342987499</v>
      </c>
    </row>
    <row r="7" spans="1:6" x14ac:dyDescent="0.25">
      <c r="A7" s="54">
        <v>2020</v>
      </c>
      <c r="B7" s="52">
        <v>5097.4287985893125</v>
      </c>
      <c r="C7" s="2">
        <v>1808.4910607604002</v>
      </c>
      <c r="D7" s="48">
        <v>33</v>
      </c>
      <c r="E7" s="4">
        <v>424.78573321577602</v>
      </c>
      <c r="F7" s="4">
        <v>361.06787323340961</v>
      </c>
    </row>
    <row r="8" spans="1:6" x14ac:dyDescent="0.25">
      <c r="A8" s="54">
        <v>2021</v>
      </c>
      <c r="B8" s="52">
        <v>7309.0638923052329</v>
      </c>
      <c r="C8" s="2">
        <v>2123.8971519435722</v>
      </c>
      <c r="D8" s="48">
        <v>34</v>
      </c>
      <c r="E8" s="4">
        <v>609.08865769210274</v>
      </c>
      <c r="F8" s="4">
        <v>517.72535903828737</v>
      </c>
    </row>
    <row r="9" spans="1:6" x14ac:dyDescent="0.25">
      <c r="A9" s="54">
        <v>2022</v>
      </c>
      <c r="B9" s="52">
        <v>9860.7615314985906</v>
      </c>
      <c r="C9" s="2">
        <v>2452.3625556922093</v>
      </c>
      <c r="D9" s="48">
        <v>35</v>
      </c>
      <c r="E9" s="4">
        <v>821.73012762488258</v>
      </c>
      <c r="F9" s="4">
        <v>698.47060848115018</v>
      </c>
    </row>
    <row r="10" spans="1:6" x14ac:dyDescent="0.25">
      <c r="A10" s="54">
        <v>2023</v>
      </c>
      <c r="B10" s="52">
        <v>12519.471960680297</v>
      </c>
      <c r="C10" s="2">
        <v>2554.4304612599435</v>
      </c>
      <c r="D10" s="48">
        <v>36</v>
      </c>
      <c r="E10" s="4">
        <v>1043.2893300566914</v>
      </c>
      <c r="F10" s="4">
        <v>886.79593054818758</v>
      </c>
    </row>
    <row r="11" spans="1:6" x14ac:dyDescent="0.25">
      <c r="A11" s="50">
        <v>2024</v>
      </c>
      <c r="B11" s="52">
        <v>16046.224437141525</v>
      </c>
      <c r="C11" s="2">
        <v>2900.778878427212</v>
      </c>
      <c r="D11" s="48">
        <v>37</v>
      </c>
      <c r="E11" s="4">
        <v>1337.1853697617937</v>
      </c>
      <c r="F11" s="4">
        <v>1136.6075642975247</v>
      </c>
    </row>
    <row r="12" spans="1:6" x14ac:dyDescent="0.25">
      <c r="A12" s="50">
        <v>2025</v>
      </c>
      <c r="B12" s="52">
        <v>19890.384636484265</v>
      </c>
      <c r="C12" s="2">
        <v>3041.8489774856612</v>
      </c>
      <c r="D12" s="48">
        <v>38</v>
      </c>
      <c r="E12" s="4">
        <v>1657.5320530403553</v>
      </c>
      <c r="F12" s="4">
        <v>1408.902245084302</v>
      </c>
    </row>
    <row r="13" spans="1:6" x14ac:dyDescent="0.25">
      <c r="A13" s="50">
        <v>2027</v>
      </c>
      <c r="B13" s="52">
        <v>24080.519253767852</v>
      </c>
      <c r="C13" s="2">
        <v>3195.6153854593704</v>
      </c>
      <c r="D13" s="48">
        <v>39</v>
      </c>
      <c r="E13" s="4">
        <v>2006.7099378139876</v>
      </c>
      <c r="F13" s="4">
        <v>1705.7034471418895</v>
      </c>
    </row>
    <row r="14" spans="1:6" s="2" customFormat="1" x14ac:dyDescent="0.25">
      <c r="A14" s="50">
        <v>2028</v>
      </c>
      <c r="B14" s="52">
        <v>28647.765986606959</v>
      </c>
      <c r="C14" s="2">
        <v>3363.2207701507141</v>
      </c>
      <c r="D14" s="48">
        <v>40</v>
      </c>
      <c r="E14" s="4">
        <v>2387.3138322172467</v>
      </c>
      <c r="F14" s="4">
        <v>2029.2167573846596</v>
      </c>
    </row>
    <row r="15" spans="1:6" s="2" customFormat="1" x14ac:dyDescent="0.25">
      <c r="A15" s="50">
        <v>2029</v>
      </c>
      <c r="B15" s="52">
        <v>33626.064925401588</v>
      </c>
      <c r="C15" s="2">
        <v>3545.9106394642786</v>
      </c>
      <c r="D15" s="48">
        <v>41</v>
      </c>
      <c r="E15" s="4">
        <v>2802.1720771167988</v>
      </c>
      <c r="F15" s="4">
        <v>2381.846265549279</v>
      </c>
    </row>
    <row r="16" spans="1:6" s="2" customFormat="1" x14ac:dyDescent="0.25">
      <c r="A16" s="50">
        <v>2030</v>
      </c>
      <c r="B16" s="52">
        <v>39052.410768687732</v>
      </c>
      <c r="C16" s="2">
        <v>3745.0425970160636</v>
      </c>
      <c r="D16" s="48">
        <v>42</v>
      </c>
      <c r="E16" s="4">
        <v>3254.367564057311</v>
      </c>
      <c r="F16" s="4">
        <v>2766.2124294487144</v>
      </c>
    </row>
    <row r="17" spans="1:6" s="2" customFormat="1" x14ac:dyDescent="0.25">
      <c r="A17" s="50">
        <v>2031</v>
      </c>
      <c r="B17" s="52">
        <v>44967.127737869625</v>
      </c>
      <c r="C17" s="2">
        <v>3962.0964307475092</v>
      </c>
      <c r="D17" s="48">
        <v>43</v>
      </c>
      <c r="E17" s="4">
        <v>3747.2606448224687</v>
      </c>
      <c r="F17" s="4">
        <v>3185.1715480990983</v>
      </c>
    </row>
    <row r="18" spans="1:6" x14ac:dyDescent="0.25">
      <c r="A18" s="50">
        <v>2032</v>
      </c>
      <c r="B18" s="52">
        <v>51414.169234277892</v>
      </c>
      <c r="C18" s="2">
        <v>4198.6851095147849</v>
      </c>
      <c r="D18" s="48">
        <v>44</v>
      </c>
      <c r="E18" s="4">
        <v>4284.5141028564913</v>
      </c>
      <c r="F18" s="4">
        <v>3641.8369874280174</v>
      </c>
    </row>
    <row r="19" spans="1:6" x14ac:dyDescent="0.25">
      <c r="A19" s="50">
        <v>2033</v>
      </c>
      <c r="B19" s="52">
        <v>58441.444465362903</v>
      </c>
      <c r="C19" s="2">
        <v>4456.5667693711157</v>
      </c>
      <c r="D19" s="48">
        <v>45</v>
      </c>
      <c r="E19" s="4">
        <v>4870.1203721135753</v>
      </c>
      <c r="F19" s="4">
        <v>4139.6023162965384</v>
      </c>
    </row>
    <row r="20" spans="1:6" x14ac:dyDescent="0.25">
      <c r="A20" s="50">
        <v>2034</v>
      </c>
      <c r="B20" s="52">
        <v>66101.174467245568</v>
      </c>
      <c r="C20" s="2">
        <v>4737.6577786145162</v>
      </c>
      <c r="D20" s="48">
        <v>46</v>
      </c>
      <c r="E20" s="4">
        <v>5508.431205603797</v>
      </c>
      <c r="F20" s="4">
        <v>4682.1665247632272</v>
      </c>
    </row>
    <row r="21" spans="1:6" x14ac:dyDescent="0.25">
      <c r="A21" s="50">
        <v>2035</v>
      </c>
      <c r="B21" s="52">
        <v>74450.280169297665</v>
      </c>
      <c r="C21" s="2">
        <v>5044.0469786898229</v>
      </c>
      <c r="D21" s="48">
        <v>47</v>
      </c>
      <c r="E21" s="4">
        <v>6204.1900141081387</v>
      </c>
      <c r="F21" s="4">
        <v>5273.5615119919175</v>
      </c>
    </row>
    <row r="22" spans="1:6" s="3" customFormat="1" x14ac:dyDescent="0.25">
      <c r="A22" s="50">
        <v>2036</v>
      </c>
      <c r="B22" s="52">
        <v>83550.805384534455</v>
      </c>
      <c r="C22" s="2">
        <v>5378.0112067719065</v>
      </c>
      <c r="D22" s="48">
        <v>48</v>
      </c>
      <c r="E22" s="4">
        <v>6962.5671153778712</v>
      </c>
      <c r="F22" s="4">
        <v>5918.1820480711904</v>
      </c>
    </row>
    <row r="23" spans="1:6" x14ac:dyDescent="0.25">
      <c r="A23" s="50">
        <v>2037</v>
      </c>
      <c r="B23" s="52">
        <v>93470.377869142554</v>
      </c>
      <c r="C23" s="2">
        <v>5742.0322153813786</v>
      </c>
      <c r="D23" s="48">
        <v>49</v>
      </c>
      <c r="E23" s="4">
        <v>7789.1981557618792</v>
      </c>
      <c r="F23" s="4">
        <v>6620.8184323975975</v>
      </c>
    </row>
    <row r="24" spans="1:6" x14ac:dyDescent="0.25">
      <c r="A24" s="50">
        <v>2038</v>
      </c>
      <c r="B24" s="52">
        <v>104282.71187736539</v>
      </c>
      <c r="C24" s="2">
        <v>6138.8151147657027</v>
      </c>
      <c r="D24" s="48">
        <v>50</v>
      </c>
      <c r="E24" s="4">
        <v>8690.2259897804488</v>
      </c>
      <c r="F24" s="4">
        <v>7386.6920913133808</v>
      </c>
    </row>
    <row r="26" spans="1:6" x14ac:dyDescent="0.25">
      <c r="B26" s="52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showGridLines="0" zoomScale="75" zoomScaleNormal="75" workbookViewId="0">
      <pane xSplit="1" topLeftCell="B1" activePane="topRight" state="frozen"/>
      <selection pane="topRight" activeCell="F9" sqref="F9"/>
    </sheetView>
  </sheetViews>
  <sheetFormatPr defaultRowHeight="12.75" x14ac:dyDescent="0.2"/>
  <cols>
    <col min="1" max="1" width="10" style="16" customWidth="1"/>
    <col min="2" max="2" width="11.42578125" style="16" bestFit="1" customWidth="1"/>
    <col min="3" max="6" width="10" style="16" bestFit="1" customWidth="1"/>
    <col min="7" max="7" width="9.5703125" style="16" bestFit="1" customWidth="1"/>
    <col min="8" max="8" width="10" style="16" bestFit="1" customWidth="1"/>
    <col min="9" max="9" width="9.5703125" style="16" bestFit="1" customWidth="1"/>
    <col min="10" max="11" width="10" style="16" bestFit="1" customWidth="1"/>
    <col min="12" max="13" width="9.5703125" style="16" bestFit="1" customWidth="1"/>
    <col min="14" max="14" width="10" style="16" bestFit="1" customWidth="1"/>
    <col min="15" max="15" width="10.140625" style="22" bestFit="1" customWidth="1"/>
    <col min="16" max="16" width="9.7109375" style="16" bestFit="1" customWidth="1"/>
    <col min="17" max="17" width="11.5703125" style="16" bestFit="1" customWidth="1"/>
    <col min="18" max="18" width="10.140625" style="16" bestFit="1" customWidth="1"/>
    <col min="19" max="19" width="13.5703125" style="16" bestFit="1" customWidth="1"/>
    <col min="20" max="20" width="8.85546875" style="16" bestFit="1" customWidth="1"/>
    <col min="21" max="21" width="13.5703125" style="16" bestFit="1" customWidth="1"/>
    <col min="22" max="22" width="10" style="16" bestFit="1" customWidth="1"/>
    <col min="23" max="23" width="13.140625" style="16" bestFit="1" customWidth="1"/>
    <col min="24" max="24" width="7.85546875" style="16" bestFit="1" customWidth="1"/>
    <col min="25" max="25" width="7.7109375" style="16" bestFit="1" customWidth="1"/>
    <col min="26" max="16384" width="9.140625" style="16"/>
  </cols>
  <sheetData>
    <row r="1" spans="1:26" x14ac:dyDescent="0.2">
      <c r="B1" s="17" t="s">
        <v>13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4</v>
      </c>
      <c r="H1" s="17" t="s">
        <v>20</v>
      </c>
      <c r="I1" s="17" t="s">
        <v>21</v>
      </c>
      <c r="J1" s="17" t="s">
        <v>22</v>
      </c>
      <c r="K1" s="17" t="s">
        <v>51</v>
      </c>
      <c r="L1" s="17" t="s">
        <v>63</v>
      </c>
      <c r="M1" s="17" t="s">
        <v>59</v>
      </c>
      <c r="N1" s="17" t="s">
        <v>60</v>
      </c>
      <c r="O1" s="18" t="s">
        <v>62</v>
      </c>
      <c r="P1" s="19" t="s">
        <v>74</v>
      </c>
      <c r="Q1" s="20" t="s">
        <v>24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6" x14ac:dyDescent="0.2">
      <c r="A2" s="21" t="s">
        <v>84</v>
      </c>
    </row>
    <row r="3" spans="1:26" x14ac:dyDescent="0.2">
      <c r="A3" s="16" t="s">
        <v>61</v>
      </c>
      <c r="B3" s="23">
        <f t="shared" ref="B3:B8" si="0">SUM(C3:N3)</f>
        <v>130.4</v>
      </c>
      <c r="C3" s="24">
        <v>0</v>
      </c>
      <c r="D3" s="25">
        <v>36.6</v>
      </c>
      <c r="E3" s="24">
        <v>0</v>
      </c>
      <c r="F3" s="24">
        <v>0</v>
      </c>
      <c r="G3" s="25">
        <v>16.8</v>
      </c>
      <c r="H3" s="24">
        <v>0</v>
      </c>
      <c r="I3" s="24">
        <v>0</v>
      </c>
      <c r="J3" s="25">
        <v>36</v>
      </c>
      <c r="K3" s="24">
        <v>0</v>
      </c>
      <c r="L3" s="24">
        <v>0</v>
      </c>
      <c r="M3" s="25">
        <v>41</v>
      </c>
      <c r="N3" s="24">
        <v>0</v>
      </c>
      <c r="O3" s="22">
        <v>100</v>
      </c>
      <c r="P3" s="24">
        <v>1.64</v>
      </c>
      <c r="Q3" s="24">
        <f t="shared" ref="Q3:Q8" si="1">O3*P3</f>
        <v>164</v>
      </c>
      <c r="R3" s="26">
        <f t="shared" ref="R3:R8" si="2">S3/O3</f>
        <v>26.872200000000003</v>
      </c>
      <c r="S3" s="24">
        <f>1746.75+940.47</f>
        <v>2687.2200000000003</v>
      </c>
      <c r="T3" s="27">
        <f t="shared" ref="T3:T8" si="3">P3/R3</f>
        <v>6.1029614248182124E-2</v>
      </c>
      <c r="U3" s="24">
        <v>2703</v>
      </c>
      <c r="V3" s="27">
        <f t="shared" ref="V3:V8" si="4">Q3/U3</f>
        <v>6.0673325934147246E-2</v>
      </c>
      <c r="W3" s="26">
        <f t="shared" ref="W3:W8" si="5">U3-S3</f>
        <v>15.779999999999745</v>
      </c>
      <c r="X3" s="56"/>
      <c r="Y3" s="56"/>
    </row>
    <row r="4" spans="1:26" x14ac:dyDescent="0.2">
      <c r="A4" s="16" t="s">
        <v>50</v>
      </c>
      <c r="B4" s="23">
        <f t="shared" si="0"/>
        <v>11.25</v>
      </c>
      <c r="C4" s="24">
        <v>0</v>
      </c>
      <c r="D4" s="24">
        <v>0</v>
      </c>
      <c r="E4" s="25">
        <v>11.25</v>
      </c>
      <c r="F4" s="24">
        <v>0</v>
      </c>
      <c r="G4" s="24">
        <v>0</v>
      </c>
      <c r="H4" s="25">
        <v>0</v>
      </c>
      <c r="I4" s="24">
        <v>0</v>
      </c>
      <c r="J4" s="24">
        <v>0</v>
      </c>
      <c r="K4" s="25">
        <f>H4</f>
        <v>0</v>
      </c>
      <c r="L4" s="25">
        <v>0</v>
      </c>
      <c r="M4" s="25">
        <v>0</v>
      </c>
      <c r="N4" s="25">
        <f>K4</f>
        <v>0</v>
      </c>
      <c r="O4" s="22">
        <v>0</v>
      </c>
      <c r="P4" s="24">
        <v>0</v>
      </c>
      <c r="Q4" s="24">
        <f t="shared" si="1"/>
        <v>0</v>
      </c>
      <c r="R4" s="26" t="e">
        <f t="shared" si="2"/>
        <v>#DIV/0!</v>
      </c>
      <c r="S4" s="24">
        <v>0</v>
      </c>
      <c r="T4" s="27" t="e">
        <f t="shared" si="3"/>
        <v>#DIV/0!</v>
      </c>
      <c r="U4" s="24">
        <v>0</v>
      </c>
      <c r="V4" s="27" t="e">
        <f t="shared" si="4"/>
        <v>#DIV/0!</v>
      </c>
      <c r="W4" s="26">
        <f t="shared" si="5"/>
        <v>0</v>
      </c>
      <c r="X4" s="56"/>
      <c r="Y4" s="56"/>
    </row>
    <row r="5" spans="1:26" x14ac:dyDescent="0.2">
      <c r="A5" s="16" t="s">
        <v>52</v>
      </c>
      <c r="B5" s="23">
        <f t="shared" si="0"/>
        <v>61.500000000000007</v>
      </c>
      <c r="C5" s="25">
        <v>15.3</v>
      </c>
      <c r="D5" s="24">
        <v>0</v>
      </c>
      <c r="E5" s="24">
        <v>0</v>
      </c>
      <c r="F5" s="25">
        <v>15.3</v>
      </c>
      <c r="G5" s="24">
        <v>0</v>
      </c>
      <c r="H5" s="25">
        <v>0</v>
      </c>
      <c r="I5" s="25">
        <v>15.3</v>
      </c>
      <c r="J5" s="24">
        <v>0</v>
      </c>
      <c r="K5" s="25">
        <v>0</v>
      </c>
      <c r="L5" s="25">
        <v>15.6</v>
      </c>
      <c r="M5" s="24">
        <v>0</v>
      </c>
      <c r="N5" s="25">
        <v>0</v>
      </c>
      <c r="O5" s="22">
        <v>15</v>
      </c>
      <c r="P5" s="24">
        <v>4.16</v>
      </c>
      <c r="Q5" s="24">
        <f t="shared" si="1"/>
        <v>62.400000000000006</v>
      </c>
      <c r="R5" s="26">
        <f t="shared" si="2"/>
        <v>79.114000000000004</v>
      </c>
      <c r="S5" s="24">
        <v>1186.71</v>
      </c>
      <c r="T5" s="27">
        <f t="shared" si="3"/>
        <v>5.2582349520944462E-2</v>
      </c>
      <c r="U5" s="24">
        <v>1372.35</v>
      </c>
      <c r="V5" s="27">
        <f t="shared" si="4"/>
        <v>4.5469450213138057E-2</v>
      </c>
      <c r="W5" s="26">
        <f t="shared" si="5"/>
        <v>185.63999999999987</v>
      </c>
      <c r="X5" s="56"/>
      <c r="Y5" s="56"/>
    </row>
    <row r="6" spans="1:26" x14ac:dyDescent="0.2">
      <c r="A6" s="16" t="s">
        <v>64</v>
      </c>
      <c r="B6" s="23">
        <f t="shared" si="0"/>
        <v>15</v>
      </c>
      <c r="C6" s="25">
        <v>0</v>
      </c>
      <c r="D6" s="24">
        <v>0</v>
      </c>
      <c r="E6" s="24">
        <v>0</v>
      </c>
      <c r="F6" s="25">
        <v>0</v>
      </c>
      <c r="G6" s="24">
        <v>0</v>
      </c>
      <c r="H6" s="25">
        <v>0</v>
      </c>
      <c r="I6" s="25">
        <v>0</v>
      </c>
      <c r="J6" s="24">
        <v>0</v>
      </c>
      <c r="K6" s="25">
        <v>0</v>
      </c>
      <c r="L6" s="25">
        <v>0</v>
      </c>
      <c r="M6" s="24">
        <v>0</v>
      </c>
      <c r="N6" s="25">
        <v>15</v>
      </c>
      <c r="O6" s="22">
        <v>25</v>
      </c>
      <c r="P6" s="24">
        <v>2.4</v>
      </c>
      <c r="Q6" s="24">
        <f t="shared" si="1"/>
        <v>60</v>
      </c>
      <c r="R6" s="26">
        <f t="shared" si="2"/>
        <v>67.867999999999995</v>
      </c>
      <c r="S6" s="24">
        <v>1696.7</v>
      </c>
      <c r="T6" s="27">
        <f t="shared" si="3"/>
        <v>3.5362763010549893E-2</v>
      </c>
      <c r="U6" s="24">
        <v>1805.75</v>
      </c>
      <c r="V6" s="27">
        <f t="shared" ref="V6" si="6">Q6/U6</f>
        <v>3.3227190917901148E-2</v>
      </c>
      <c r="W6" s="26">
        <f t="shared" ref="W6" si="7">U6-S6</f>
        <v>109.04999999999995</v>
      </c>
      <c r="X6" s="56"/>
      <c r="Y6" s="56"/>
    </row>
    <row r="7" spans="1:26" x14ac:dyDescent="0.2">
      <c r="A7" s="16" t="s">
        <v>58</v>
      </c>
      <c r="B7" s="23">
        <f t="shared" si="0"/>
        <v>49.75</v>
      </c>
      <c r="C7" s="25">
        <v>12.25</v>
      </c>
      <c r="D7" s="24">
        <v>0</v>
      </c>
      <c r="E7" s="24">
        <v>0</v>
      </c>
      <c r="F7" s="25">
        <v>12.5</v>
      </c>
      <c r="G7" s="24"/>
      <c r="H7" s="25">
        <v>12.5</v>
      </c>
      <c r="I7" s="25">
        <v>0</v>
      </c>
      <c r="J7" s="24">
        <v>0</v>
      </c>
      <c r="K7" s="25">
        <v>12.5</v>
      </c>
      <c r="L7" s="25">
        <f>I7</f>
        <v>0</v>
      </c>
      <c r="M7" s="24">
        <v>0</v>
      </c>
      <c r="N7" s="25">
        <v>0</v>
      </c>
      <c r="O7" s="22">
        <v>25</v>
      </c>
      <c r="P7" s="24">
        <v>2</v>
      </c>
      <c r="Q7" s="24">
        <f t="shared" ref="Q7" si="8">O7*P7</f>
        <v>50</v>
      </c>
      <c r="R7" s="26">
        <f t="shared" ref="R7" si="9">S7/O7</f>
        <v>57.625200000000007</v>
      </c>
      <c r="S7" s="24">
        <v>1440.63</v>
      </c>
      <c r="T7" s="27">
        <f t="shared" si="3"/>
        <v>3.4707037893143965E-2</v>
      </c>
      <c r="U7" s="24">
        <v>1728</v>
      </c>
      <c r="V7" s="27">
        <f t="shared" ref="V7" si="10">Q7/U7</f>
        <v>2.8935185185185185E-2</v>
      </c>
      <c r="W7" s="26">
        <f t="shared" ref="W7" si="11">U7-S7</f>
        <v>287.36999999999989</v>
      </c>
      <c r="X7" s="56"/>
      <c r="Y7" s="56"/>
      <c r="Z7" s="56"/>
    </row>
    <row r="8" spans="1:26" x14ac:dyDescent="0.2">
      <c r="A8" s="16" t="s">
        <v>45</v>
      </c>
      <c r="B8" s="23">
        <f t="shared" si="0"/>
        <v>44.7</v>
      </c>
      <c r="C8" s="24">
        <v>0</v>
      </c>
      <c r="D8" s="24">
        <v>0</v>
      </c>
      <c r="E8" s="25">
        <v>10.95</v>
      </c>
      <c r="F8" s="24">
        <v>0</v>
      </c>
      <c r="G8" s="24">
        <v>0</v>
      </c>
      <c r="H8" s="25">
        <v>11.25</v>
      </c>
      <c r="I8" s="24">
        <v>0</v>
      </c>
      <c r="J8" s="24">
        <v>0</v>
      </c>
      <c r="K8" s="25">
        <f>H8</f>
        <v>11.25</v>
      </c>
      <c r="L8" s="24">
        <v>0</v>
      </c>
      <c r="M8" s="24">
        <v>0</v>
      </c>
      <c r="N8" s="25">
        <v>11.25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1353.9</v>
      </c>
      <c r="V8" s="27">
        <f t="shared" si="4"/>
        <v>3.323731442499446E-2</v>
      </c>
      <c r="W8" s="26">
        <f t="shared" si="5"/>
        <v>116.18000000000006</v>
      </c>
      <c r="X8" s="56"/>
      <c r="Y8" s="56"/>
    </row>
    <row r="9" spans="1:26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735.04</v>
      </c>
    </row>
    <row r="10" spans="1:26" x14ac:dyDescent="0.2">
      <c r="A10" s="21" t="s">
        <v>13</v>
      </c>
      <c r="B10" s="28">
        <f>SUM(B3:B9)</f>
        <v>312.59999999999997</v>
      </c>
      <c r="C10" s="28">
        <f>SUM(C3:C9)</f>
        <v>27.55</v>
      </c>
      <c r="D10" s="28">
        <f t="shared" ref="D10:N10" si="12">SUM(D3:D9)</f>
        <v>36.6</v>
      </c>
      <c r="E10" s="28">
        <f t="shared" si="12"/>
        <v>22.2</v>
      </c>
      <c r="F10" s="28">
        <f t="shared" si="12"/>
        <v>27.8</v>
      </c>
      <c r="G10" s="28">
        <f t="shared" si="12"/>
        <v>16.8</v>
      </c>
      <c r="H10" s="28">
        <f t="shared" si="12"/>
        <v>23.75</v>
      </c>
      <c r="I10" s="28">
        <f t="shared" si="12"/>
        <v>15.3</v>
      </c>
      <c r="J10" s="28">
        <f t="shared" si="12"/>
        <v>36</v>
      </c>
      <c r="K10" s="28">
        <f t="shared" si="12"/>
        <v>23.75</v>
      </c>
      <c r="L10" s="28">
        <f t="shared" si="12"/>
        <v>15.6</v>
      </c>
      <c r="M10" s="28">
        <f t="shared" si="12"/>
        <v>41</v>
      </c>
      <c r="N10" s="28">
        <f t="shared" si="12"/>
        <v>26.25</v>
      </c>
      <c r="O10" s="57"/>
      <c r="P10" s="21"/>
      <c r="Q10" s="28">
        <f>SUM(Q3:Q9)</f>
        <v>381.4</v>
      </c>
      <c r="R10" s="58"/>
      <c r="S10" s="28">
        <f>SUM(S3:S9)</f>
        <v>8248.98</v>
      </c>
      <c r="T10" s="59">
        <f>Q10/S10</f>
        <v>4.6236019483621008E-2</v>
      </c>
      <c r="U10" s="28">
        <f>SUM(U3:U9)</f>
        <v>9698.0400000000009</v>
      </c>
      <c r="V10" s="59">
        <f>Q10/U10</f>
        <v>3.9327534223410086E-2</v>
      </c>
      <c r="W10" s="58">
        <f>SUM(W3:W9)</f>
        <v>714.01999999999953</v>
      </c>
    </row>
    <row r="11" spans="1:26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6" x14ac:dyDescent="0.2">
      <c r="A12" s="60">
        <v>2015</v>
      </c>
      <c r="B12" s="24">
        <f>SUM(C12:N12)</f>
        <v>81.45</v>
      </c>
      <c r="C12" s="24">
        <v>0</v>
      </c>
      <c r="D12" s="25">
        <v>0</v>
      </c>
      <c r="E12" s="25">
        <v>10.5</v>
      </c>
      <c r="F12" s="25">
        <v>0</v>
      </c>
      <c r="G12" s="25">
        <v>0</v>
      </c>
      <c r="H12" s="25">
        <v>11.25</v>
      </c>
      <c r="I12" s="25">
        <v>0</v>
      </c>
      <c r="J12" s="25">
        <v>0</v>
      </c>
      <c r="K12" s="25">
        <v>22.2</v>
      </c>
      <c r="L12" s="25">
        <v>15.3</v>
      </c>
      <c r="M12" s="25">
        <v>0</v>
      </c>
      <c r="N12" s="25">
        <v>22.2</v>
      </c>
      <c r="T12" s="33" t="s">
        <v>56</v>
      </c>
      <c r="U12" s="24">
        <f>7.95+7.99+7.95</f>
        <v>23.89</v>
      </c>
    </row>
    <row r="13" spans="1:26" x14ac:dyDescent="0.2">
      <c r="A13" s="60" t="s">
        <v>26</v>
      </c>
      <c r="B13" s="27">
        <f t="shared" ref="B13:N13" si="13">(B10-B12)/B12</f>
        <v>2.8379373848987104</v>
      </c>
      <c r="C13" s="27" t="e">
        <f t="shared" si="13"/>
        <v>#DIV/0!</v>
      </c>
      <c r="D13" s="27" t="e">
        <f t="shared" si="13"/>
        <v>#DIV/0!</v>
      </c>
      <c r="E13" s="27">
        <f t="shared" si="13"/>
        <v>1.1142857142857143</v>
      </c>
      <c r="F13" s="27" t="e">
        <f t="shared" si="13"/>
        <v>#DIV/0!</v>
      </c>
      <c r="G13" s="27" t="e">
        <f t="shared" si="13"/>
        <v>#DIV/0!</v>
      </c>
      <c r="H13" s="27">
        <f t="shared" si="13"/>
        <v>1.1111111111111112</v>
      </c>
      <c r="I13" s="27" t="e">
        <f t="shared" si="13"/>
        <v>#DIV/0!</v>
      </c>
      <c r="J13" s="27" t="e">
        <f t="shared" si="13"/>
        <v>#DIV/0!</v>
      </c>
      <c r="K13" s="27">
        <f t="shared" si="13"/>
        <v>6.9819819819819856E-2</v>
      </c>
      <c r="L13" s="27">
        <f t="shared" si="13"/>
        <v>1.9607843137254832E-2</v>
      </c>
      <c r="M13" s="27" t="e">
        <f t="shared" si="13"/>
        <v>#DIV/0!</v>
      </c>
      <c r="N13" s="27">
        <f t="shared" si="13"/>
        <v>0.18243243243243246</v>
      </c>
      <c r="T13" s="34" t="s">
        <v>57</v>
      </c>
      <c r="U13" s="27">
        <f t="shared" ref="U13" si="14">U12/U10</f>
        <v>2.4633843539519323E-3</v>
      </c>
    </row>
    <row r="14" spans="1:26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  <ignoredErrors>
    <ignoredError sqref="B3:B8" formulaRange="1"/>
    <ignoredError sqref="T11:V11 T10 V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1"/>
  <sheetViews>
    <sheetView showGridLines="0" zoomScale="80" zoomScaleNormal="80" workbookViewId="0">
      <pane xSplit="1" topLeftCell="B1" activePane="topRight" state="frozen"/>
      <selection pane="topRight" activeCell="O2" sqref="O2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8" width="9.85546875" style="16" bestFit="1" customWidth="1"/>
    <col min="9" max="9" width="9.140625" style="16" bestFit="1" customWidth="1"/>
    <col min="10" max="11" width="8.42578125" style="16" bestFit="1" customWidth="1"/>
    <col min="12" max="12" width="9.140625" style="16" bestFit="1" customWidth="1"/>
    <col min="13" max="14" width="8.42578125" style="16" bestFit="1" customWidth="1"/>
    <col min="15" max="15" width="9.28515625" style="22" bestFit="1" customWidth="1"/>
    <col min="16" max="16" width="9.7109375" style="16" bestFit="1" customWidth="1"/>
    <col min="17" max="17" width="8.140625" style="16" bestFit="1" customWidth="1"/>
    <col min="18" max="18" width="8.42578125" style="16" bestFit="1" customWidth="1"/>
    <col min="19" max="19" width="11.28515625" style="16" bestFit="1" customWidth="1"/>
    <col min="20" max="20" width="7.42578125" style="16" bestFit="1" customWidth="1"/>
    <col min="21" max="21" width="10.85546875" style="16" bestFit="1" customWidth="1"/>
    <col min="22" max="22" width="7.28515625" style="16" bestFit="1" customWidth="1"/>
    <col min="23" max="23" width="10.28515625" style="16" bestFit="1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4</v>
      </c>
      <c r="H1" s="17" t="s">
        <v>20</v>
      </c>
      <c r="I1" s="17" t="s">
        <v>21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77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73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234</v>
      </c>
      <c r="C3" s="24">
        <v>0</v>
      </c>
      <c r="D3" s="25">
        <v>47</v>
      </c>
      <c r="E3" s="24">
        <v>0</v>
      </c>
      <c r="F3" s="24">
        <v>0</v>
      </c>
      <c r="G3" s="25">
        <v>87</v>
      </c>
      <c r="H3" s="24">
        <v>0</v>
      </c>
      <c r="I3" s="24">
        <v>0</v>
      </c>
      <c r="J3" s="61"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3253</v>
      </c>
      <c r="V3" s="27">
        <f t="shared" ref="V3:V8" si="4">Q3/U3</f>
        <v>7.1933599754073166E-2</v>
      </c>
      <c r="W3" s="26">
        <f t="shared" ref="W3:W8" si="5">U3-S3</f>
        <v>565.7800000000002</v>
      </c>
      <c r="X3" s="56"/>
      <c r="Y3" s="56">
        <v>42937</v>
      </c>
    </row>
    <row r="4" spans="1:25" x14ac:dyDescent="0.2">
      <c r="A4" s="16" t="s">
        <v>85</v>
      </c>
      <c r="B4" s="23">
        <f t="shared" si="0"/>
        <v>34.799999999999997</v>
      </c>
      <c r="C4" s="24">
        <v>0</v>
      </c>
      <c r="D4" s="25">
        <v>0</v>
      </c>
      <c r="E4" s="24">
        <v>0</v>
      </c>
      <c r="F4" s="24">
        <v>0</v>
      </c>
      <c r="G4" s="25">
        <v>0</v>
      </c>
      <c r="H4" s="24">
        <v>0</v>
      </c>
      <c r="I4" s="25">
        <v>17.399999999999999</v>
      </c>
      <c r="J4" s="25">
        <v>0</v>
      </c>
      <c r="K4" s="25">
        <v>0</v>
      </c>
      <c r="L4" s="61">
        <f>I4</f>
        <v>17.399999999999999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ref="Q4" si="6">O4*P4</f>
        <v>69.599999999999994</v>
      </c>
      <c r="R4" s="26">
        <f t="shared" ref="R4" si="7">S4/O4</f>
        <v>31.2775</v>
      </c>
      <c r="S4" s="24">
        <v>1876.65</v>
      </c>
      <c r="T4" s="27">
        <f t="shared" si="3"/>
        <v>3.7087363120453999E-2</v>
      </c>
      <c r="U4" s="24">
        <v>1889.4</v>
      </c>
      <c r="V4" s="27">
        <f t="shared" ref="V4" si="8">Q4/U4</f>
        <v>3.6837091140044451E-2</v>
      </c>
      <c r="W4" s="26">
        <f t="shared" ref="W4" si="9">U4-S4</f>
        <v>12.75</v>
      </c>
      <c r="X4" s="56">
        <v>42942</v>
      </c>
      <c r="Y4" s="56"/>
    </row>
    <row r="5" spans="1:25" x14ac:dyDescent="0.2">
      <c r="A5" s="16" t="s">
        <v>52</v>
      </c>
      <c r="B5" s="23">
        <f t="shared" si="0"/>
        <v>15.6</v>
      </c>
      <c r="C5" s="25">
        <v>15.6</v>
      </c>
      <c r="D5" s="24">
        <v>0</v>
      </c>
      <c r="E5" s="24">
        <v>0</v>
      </c>
      <c r="F5" s="25">
        <v>0</v>
      </c>
      <c r="G5" s="25">
        <v>0</v>
      </c>
      <c r="H5" s="25">
        <v>0</v>
      </c>
      <c r="I5" s="25">
        <f>F5</f>
        <v>0</v>
      </c>
      <c r="J5" s="25">
        <v>0</v>
      </c>
      <c r="K5" s="25">
        <v>0</v>
      </c>
      <c r="L5" s="25">
        <f>I5*1.02</f>
        <v>0</v>
      </c>
      <c r="M5" s="25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X5" s="56"/>
      <c r="Y5" s="56"/>
    </row>
    <row r="6" spans="1:25" x14ac:dyDescent="0.2">
      <c r="A6" s="16" t="s">
        <v>64</v>
      </c>
      <c r="B6" s="23">
        <f t="shared" si="0"/>
        <v>125.4</v>
      </c>
      <c r="C6" s="25">
        <v>0</v>
      </c>
      <c r="D6" s="24">
        <v>0</v>
      </c>
      <c r="E6" s="25">
        <f>'16'!N6</f>
        <v>15</v>
      </c>
      <c r="F6" s="25">
        <v>0</v>
      </c>
      <c r="G6" s="24">
        <v>0</v>
      </c>
      <c r="H6" s="25">
        <v>36</v>
      </c>
      <c r="I6" s="25">
        <v>0</v>
      </c>
      <c r="J6" s="24">
        <v>0</v>
      </c>
      <c r="K6" s="25">
        <v>37.200000000000003</v>
      </c>
      <c r="L6" s="25">
        <v>0</v>
      </c>
      <c r="M6" s="24">
        <v>0</v>
      </c>
      <c r="N6" s="61">
        <f>K6</f>
        <v>37.200000000000003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61.771333333333338</v>
      </c>
      <c r="S6" s="24">
        <v>3706.28</v>
      </c>
      <c r="T6" s="27">
        <f t="shared" si="3"/>
        <v>4.0148073000420906E-2</v>
      </c>
      <c r="U6" s="24">
        <v>3247.8</v>
      </c>
      <c r="V6" s="27">
        <f t="shared" si="4"/>
        <v>4.5815629041197119E-2</v>
      </c>
      <c r="W6" s="26">
        <f t="shared" si="5"/>
        <v>-458.48</v>
      </c>
      <c r="X6" s="56">
        <v>42988</v>
      </c>
      <c r="Y6" s="56"/>
    </row>
    <row r="7" spans="1:25" x14ac:dyDescent="0.2">
      <c r="A7" s="16" t="s">
        <v>58</v>
      </c>
      <c r="B7" s="23">
        <f t="shared" si="0"/>
        <v>50.75</v>
      </c>
      <c r="C7" s="25">
        <v>12.5</v>
      </c>
      <c r="D7" s="24">
        <v>0</v>
      </c>
      <c r="E7" s="24">
        <v>0</v>
      </c>
      <c r="F7" s="25">
        <v>12.75</v>
      </c>
      <c r="G7" s="24">
        <v>0</v>
      </c>
      <c r="H7" s="25">
        <v>12.75</v>
      </c>
      <c r="I7" s="25">
        <v>0</v>
      </c>
      <c r="J7" s="24">
        <v>0</v>
      </c>
      <c r="K7" s="25">
        <v>12.75</v>
      </c>
      <c r="L7" s="25">
        <f>I7</f>
        <v>0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1953.75</v>
      </c>
      <c r="V7" s="27">
        <f t="shared" si="4"/>
        <v>2.6103646833013437E-2</v>
      </c>
      <c r="W7" s="26">
        <f t="shared" si="5"/>
        <v>513.11999999999989</v>
      </c>
      <c r="X7" s="56">
        <v>42983</v>
      </c>
      <c r="Y7" s="56"/>
    </row>
    <row r="8" spans="1:25" x14ac:dyDescent="0.2">
      <c r="A8" s="16" t="s">
        <v>45</v>
      </c>
      <c r="B8" s="23">
        <f t="shared" si="0"/>
        <v>45.900000000000006</v>
      </c>
      <c r="C8" s="24">
        <v>0</v>
      </c>
      <c r="D8" s="24">
        <v>0</v>
      </c>
      <c r="E8" s="25">
        <v>11.25</v>
      </c>
      <c r="F8" s="24">
        <v>0</v>
      </c>
      <c r="G8" s="24">
        <v>0</v>
      </c>
      <c r="H8" s="25">
        <v>11.55</v>
      </c>
      <c r="I8" s="24">
        <v>0</v>
      </c>
      <c r="J8" s="24">
        <v>0</v>
      </c>
      <c r="K8" s="61">
        <f>H8</f>
        <v>11.55</v>
      </c>
      <c r="L8" s="24">
        <v>0</v>
      </c>
      <c r="M8" s="24">
        <v>0</v>
      </c>
      <c r="N8" s="61">
        <f>K8</f>
        <v>11.55</v>
      </c>
      <c r="O8" s="22">
        <v>15</v>
      </c>
      <c r="P8" s="24">
        <v>3.08</v>
      </c>
      <c r="Q8" s="24">
        <f t="shared" si="1"/>
        <v>46.2</v>
      </c>
      <c r="R8" s="26">
        <f t="shared" si="2"/>
        <v>82.51466666666667</v>
      </c>
      <c r="S8" s="24">
        <v>1237.72</v>
      </c>
      <c r="T8" s="27">
        <f t="shared" si="3"/>
        <v>3.7326697476004263E-2</v>
      </c>
      <c r="U8" s="24">
        <v>1234.3499999999999</v>
      </c>
      <c r="V8" s="27">
        <f t="shared" si="4"/>
        <v>3.7428606148985299E-2</v>
      </c>
      <c r="W8" s="26">
        <f t="shared" si="5"/>
        <v>-3.3700000000001182</v>
      </c>
      <c r="X8" s="56"/>
      <c r="Y8" s="56">
        <v>42943</v>
      </c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f>250.97+36+100</f>
        <v>386.97</v>
      </c>
    </row>
    <row r="10" spans="1:25" x14ac:dyDescent="0.2">
      <c r="A10" s="21" t="s">
        <v>13</v>
      </c>
      <c r="B10" s="28">
        <f t="shared" ref="B10:N10" si="10">SUM(B3:B9)</f>
        <v>506.45000000000005</v>
      </c>
      <c r="C10" s="28">
        <f t="shared" si="10"/>
        <v>28.1</v>
      </c>
      <c r="D10" s="28">
        <f t="shared" si="10"/>
        <v>47</v>
      </c>
      <c r="E10" s="28">
        <f t="shared" si="10"/>
        <v>26.25</v>
      </c>
      <c r="F10" s="28">
        <f>SUM(F3:F9)</f>
        <v>12.75</v>
      </c>
      <c r="G10" s="28">
        <f t="shared" si="10"/>
        <v>87</v>
      </c>
      <c r="H10" s="28">
        <f t="shared" si="10"/>
        <v>60.3</v>
      </c>
      <c r="I10" s="28">
        <f t="shared" si="10"/>
        <v>17.399999999999999</v>
      </c>
      <c r="J10" s="28">
        <f t="shared" si="10"/>
        <v>50</v>
      </c>
      <c r="K10" s="28">
        <f t="shared" si="10"/>
        <v>61.5</v>
      </c>
      <c r="L10" s="28">
        <f t="shared" si="10"/>
        <v>17.399999999999999</v>
      </c>
      <c r="M10" s="28">
        <f t="shared" si="10"/>
        <v>50</v>
      </c>
      <c r="N10" s="28">
        <f t="shared" si="10"/>
        <v>48.75</v>
      </c>
      <c r="O10" s="57"/>
      <c r="P10" s="21"/>
      <c r="Q10" s="28">
        <f>SUM(Q3:Q9)</f>
        <v>549.6</v>
      </c>
      <c r="R10" s="58"/>
      <c r="S10" s="28">
        <f>SUM(S3:S9)</f>
        <v>10948.499999999998</v>
      </c>
      <c r="T10" s="59">
        <f>Q10/S10</f>
        <v>5.0198657350321974E-2</v>
      </c>
      <c r="U10" s="28">
        <f>SUM(U3:U9)</f>
        <v>11965.27</v>
      </c>
      <c r="V10" s="59">
        <f>B10/U10</f>
        <v>4.2326667095686103E-2</v>
      </c>
      <c r="W10" s="58">
        <f>SUM(W3:W9)</f>
        <v>629.79999999999995</v>
      </c>
      <c r="X10" s="21"/>
      <c r="Y10" s="21"/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2016</v>
      </c>
      <c r="B12" s="24">
        <f>SUM(C12:N12)</f>
        <v>312.60000000000002</v>
      </c>
      <c r="C12" s="24">
        <v>27.55</v>
      </c>
      <c r="D12" s="25">
        <v>36.6</v>
      </c>
      <c r="E12" s="25">
        <v>22.2</v>
      </c>
      <c r="F12" s="25">
        <v>27.8</v>
      </c>
      <c r="G12" s="25">
        <v>16.8</v>
      </c>
      <c r="H12" s="25">
        <v>23.75</v>
      </c>
      <c r="I12" s="25">
        <v>15.3</v>
      </c>
      <c r="J12" s="25">
        <v>36</v>
      </c>
      <c r="K12" s="25">
        <v>23.75</v>
      </c>
      <c r="L12" s="25">
        <v>15.6</v>
      </c>
      <c r="M12" s="25">
        <v>41</v>
      </c>
      <c r="N12" s="25">
        <v>26.25</v>
      </c>
      <c r="T12" s="33" t="s">
        <v>56</v>
      </c>
      <c r="U12" s="24">
        <f>7.99+4.95+4.95</f>
        <v>17.89</v>
      </c>
    </row>
    <row r="13" spans="1:25" x14ac:dyDescent="0.2">
      <c r="A13" s="60" t="s">
        <v>26</v>
      </c>
      <c r="B13" s="27">
        <f t="shared" ref="B13:N13" si="11">(B10-B12)/B12</f>
        <v>0.62012156110044792</v>
      </c>
      <c r="C13" s="27">
        <f t="shared" si="11"/>
        <v>1.9963702359346667E-2</v>
      </c>
      <c r="D13" s="27">
        <f t="shared" si="11"/>
        <v>0.2841530054644808</v>
      </c>
      <c r="E13" s="27">
        <f t="shared" si="11"/>
        <v>0.18243243243243246</v>
      </c>
      <c r="F13" s="27">
        <f t="shared" si="11"/>
        <v>-0.54136690647482011</v>
      </c>
      <c r="G13" s="27">
        <f t="shared" si="11"/>
        <v>4.1785714285714288</v>
      </c>
      <c r="H13" s="27">
        <f t="shared" si="11"/>
        <v>1.5389473684210526</v>
      </c>
      <c r="I13" s="27">
        <f t="shared" si="11"/>
        <v>0.13725490196078416</v>
      </c>
      <c r="J13" s="27">
        <f t="shared" si="11"/>
        <v>0.3888888888888889</v>
      </c>
      <c r="K13" s="27">
        <f t="shared" si="11"/>
        <v>1.5894736842105264</v>
      </c>
      <c r="L13" s="27">
        <f t="shared" si="11"/>
        <v>0.11538461538461532</v>
      </c>
      <c r="M13" s="27">
        <f t="shared" si="11"/>
        <v>0.21951219512195122</v>
      </c>
      <c r="N13" s="27">
        <f t="shared" si="11"/>
        <v>0.8571428571428571</v>
      </c>
      <c r="T13" s="34" t="s">
        <v>57</v>
      </c>
      <c r="U13" s="27">
        <f t="shared" ref="U13" si="12">U12/U10</f>
        <v>1.4951605772372876E-3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5" s="24" customFormat="1" x14ac:dyDescent="0.2"/>
    <row r="16" spans="1:25" s="24" customFormat="1" x14ac:dyDescent="0.2"/>
    <row r="17" s="24" customFormat="1" x14ac:dyDescent="0.2"/>
    <row r="18" s="24" customFormat="1" x14ac:dyDescent="0.2"/>
    <row r="19" s="24" customFormat="1" x14ac:dyDescent="0.2"/>
    <row r="20" s="24" customFormat="1" x14ac:dyDescent="0.2"/>
    <row r="21" s="24" customFormat="1" x14ac:dyDescent="0.2"/>
    <row r="22" s="24" customFormat="1" x14ac:dyDescent="0.2"/>
    <row r="23" s="24" customFormat="1" x14ac:dyDescent="0.2"/>
    <row r="24" s="24" customFormat="1" x14ac:dyDescent="0.2"/>
    <row r="25" s="24" customFormat="1" x14ac:dyDescent="0.2"/>
    <row r="26" s="24" customFormat="1" x14ac:dyDescent="0.2"/>
    <row r="27" s="24" customFormat="1" x14ac:dyDescent="0.2"/>
    <row r="28" s="24" customFormat="1" x14ac:dyDescent="0.2"/>
    <row r="29" s="24" customFormat="1" x14ac:dyDescent="0.2"/>
    <row r="30" s="24" customFormat="1" x14ac:dyDescent="0.2"/>
    <row r="31" s="24" customFormat="1" x14ac:dyDescent="0.2"/>
  </sheetData>
  <pageMargins left="0.7" right="0.7" top="0.75" bottom="0.75" header="0.3" footer="0.3"/>
  <pageSetup scale="57" fitToHeight="0" orientation="landscape" r:id="rId1"/>
  <ignoredErrors>
    <ignoredError sqref="R5:W5 R10:S10 W10 R9:T9 V9:W9 R8:T8 R6:T6 V6:W6 R7:T7 V7:W7 V8:W8" evalError="1"/>
    <ignoredError sqref="T10:V10" evalError="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="80" zoomScaleNormal="80" workbookViewId="0">
      <pane xSplit="1" topLeftCell="B1" activePane="topRight" state="frozen"/>
      <selection pane="topRight" activeCell="E8" sqref="E8"/>
    </sheetView>
  </sheetViews>
  <sheetFormatPr defaultRowHeight="12.75" x14ac:dyDescent="0.2"/>
  <cols>
    <col min="1" max="1" width="10" style="16" customWidth="1"/>
    <col min="2" max="2" width="10.140625" style="16" bestFit="1" customWidth="1"/>
    <col min="3" max="3" width="9.140625" style="16" bestFit="1" customWidth="1"/>
    <col min="4" max="4" width="8.42578125" style="16" bestFit="1" customWidth="1"/>
    <col min="5" max="5" width="8.7109375" style="16" bestFit="1" customWidth="1"/>
    <col min="6" max="6" width="9.140625" style="16" bestFit="1" customWidth="1"/>
    <col min="7" max="7" width="8.42578125" style="16" bestFit="1" customWidth="1"/>
    <col min="8" max="8" width="8.7109375" style="16" bestFit="1" customWidth="1"/>
    <col min="9" max="11" width="8.42578125" style="16" bestFit="1" customWidth="1"/>
    <col min="12" max="12" width="7.7109375" style="16" bestFit="1" customWidth="1"/>
    <col min="13" max="14" width="8.42578125" style="16" bestFit="1" customWidth="1"/>
    <col min="15" max="15" width="9.28515625" style="22" bestFit="1" customWidth="1"/>
    <col min="16" max="16" width="9.7109375" style="16" bestFit="1" customWidth="1"/>
    <col min="17" max="17" width="10.140625" style="16" bestFit="1" customWidth="1"/>
    <col min="18" max="18" width="9.42578125" style="16" bestFit="1" customWidth="1"/>
    <col min="19" max="19" width="11.28515625" style="16" bestFit="1" customWidth="1"/>
    <col min="20" max="20" width="7.5703125" style="16" customWidth="1"/>
    <col min="21" max="21" width="10.85546875" style="16" bestFit="1" customWidth="1"/>
    <col min="22" max="22" width="8.85546875" style="16" customWidth="1"/>
    <col min="23" max="23" width="10.28515625" style="16" bestFit="1" customWidth="1"/>
    <col min="24" max="25" width="7.7109375" style="16" bestFit="1" customWidth="1"/>
    <col min="26" max="16384" width="9.140625" style="16"/>
  </cols>
  <sheetData>
    <row r="1" spans="1:25" x14ac:dyDescent="0.2">
      <c r="B1" s="17" t="s">
        <v>44</v>
      </c>
      <c r="C1" s="17" t="s">
        <v>72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27</v>
      </c>
      <c r="N1" s="17" t="s">
        <v>28</v>
      </c>
      <c r="O1" s="18" t="s">
        <v>14</v>
      </c>
      <c r="P1" s="19" t="s">
        <v>74</v>
      </c>
      <c r="Q1" s="20" t="s">
        <v>76</v>
      </c>
      <c r="R1" s="17" t="s">
        <v>75</v>
      </c>
      <c r="S1" s="19" t="s">
        <v>15</v>
      </c>
      <c r="T1" s="17" t="s">
        <v>41</v>
      </c>
      <c r="U1" s="17" t="s">
        <v>70</v>
      </c>
      <c r="V1" s="17" t="s">
        <v>71</v>
      </c>
      <c r="W1" s="17" t="s">
        <v>43</v>
      </c>
    </row>
    <row r="2" spans="1:25" x14ac:dyDescent="0.2">
      <c r="A2" s="21" t="s">
        <v>38</v>
      </c>
    </row>
    <row r="3" spans="1:25" x14ac:dyDescent="0.2">
      <c r="A3" s="16" t="s">
        <v>61</v>
      </c>
      <c r="B3" s="23">
        <f t="shared" ref="B3:B8" si="0">SUM(C3:N3)</f>
        <v>200</v>
      </c>
      <c r="C3" s="24">
        <v>0</v>
      </c>
      <c r="D3" s="61">
        <f>'17'!M3</f>
        <v>50</v>
      </c>
      <c r="E3" s="24">
        <v>0</v>
      </c>
      <c r="F3" s="24">
        <v>0</v>
      </c>
      <c r="G3" s="61">
        <f>D3</f>
        <v>50</v>
      </c>
      <c r="H3" s="24">
        <v>0</v>
      </c>
      <c r="I3" s="24">
        <v>0</v>
      </c>
      <c r="J3" s="61">
        <f>G3</f>
        <v>50</v>
      </c>
      <c r="K3" s="24">
        <v>0</v>
      </c>
      <c r="L3" s="24">
        <v>0</v>
      </c>
      <c r="M3" s="61">
        <f>J3</f>
        <v>50</v>
      </c>
      <c r="N3" s="24">
        <v>0</v>
      </c>
      <c r="O3" s="22">
        <v>100</v>
      </c>
      <c r="P3" s="24">
        <v>2.34</v>
      </c>
      <c r="Q3" s="24">
        <f t="shared" ref="Q3:Q8" si="1">O3*P3</f>
        <v>234</v>
      </c>
      <c r="R3" s="26">
        <f t="shared" ref="R3:R8" si="2">S3/O3</f>
        <v>26.872199999999999</v>
      </c>
      <c r="S3" s="24">
        <v>2687.22</v>
      </c>
      <c r="T3" s="27">
        <f t="shared" ref="T3:T8" si="3">P3/R3</f>
        <v>8.7078839841918415E-2</v>
      </c>
      <c r="U3" s="24">
        <v>3084</v>
      </c>
      <c r="V3" s="27">
        <f t="shared" ref="V3:V8" si="4">Q3/U3</f>
        <v>7.5875486381322951E-2</v>
      </c>
      <c r="W3" s="26">
        <f t="shared" ref="W3:W8" si="5">U3-S3</f>
        <v>396.7800000000002</v>
      </c>
      <c r="Y3" s="56"/>
    </row>
    <row r="4" spans="1:25" x14ac:dyDescent="0.2">
      <c r="A4" s="16" t="s">
        <v>85</v>
      </c>
      <c r="B4" s="23">
        <f t="shared" si="0"/>
        <v>74.819999999999993</v>
      </c>
      <c r="C4" s="61">
        <f>'17'!L4</f>
        <v>17.399999999999999</v>
      </c>
      <c r="D4" s="25">
        <v>0</v>
      </c>
      <c r="E4" s="24">
        <v>0</v>
      </c>
      <c r="F4" s="62">
        <f>C4*1.1</f>
        <v>19.14</v>
      </c>
      <c r="G4" s="25">
        <v>0</v>
      </c>
      <c r="H4" s="24">
        <v>0</v>
      </c>
      <c r="I4" s="61">
        <f>F4</f>
        <v>19.14</v>
      </c>
      <c r="J4" s="25">
        <v>0</v>
      </c>
      <c r="K4" s="25">
        <v>0</v>
      </c>
      <c r="L4" s="61">
        <f>I4</f>
        <v>19.14</v>
      </c>
      <c r="M4" s="25">
        <v>0</v>
      </c>
      <c r="N4" s="24">
        <v>0</v>
      </c>
      <c r="O4" s="22">
        <v>60</v>
      </c>
      <c r="P4" s="24">
        <f>0.29*4</f>
        <v>1.1599999999999999</v>
      </c>
      <c r="Q4" s="24">
        <f t="shared" si="1"/>
        <v>69.599999999999994</v>
      </c>
      <c r="R4" s="26">
        <f t="shared" si="2"/>
        <v>31.2775</v>
      </c>
      <c r="S4" s="24">
        <v>1876.65</v>
      </c>
      <c r="T4" s="27">
        <f t="shared" si="3"/>
        <v>3.7087363120453999E-2</v>
      </c>
      <c r="U4" s="24">
        <v>1872.6</v>
      </c>
      <c r="V4" s="27">
        <f t="shared" si="4"/>
        <v>3.7167574495354051E-2</v>
      </c>
      <c r="W4" s="26">
        <f t="shared" si="5"/>
        <v>-4.0500000000001819</v>
      </c>
      <c r="X4" s="56"/>
      <c r="Y4" s="56"/>
    </row>
    <row r="5" spans="1:25" x14ac:dyDescent="0.2">
      <c r="A5" s="16" t="s">
        <v>52</v>
      </c>
      <c r="B5" s="23">
        <f t="shared" si="0"/>
        <v>0</v>
      </c>
      <c r="C5" s="61">
        <f>'17'!L5</f>
        <v>0</v>
      </c>
      <c r="D5" s="24">
        <v>0</v>
      </c>
      <c r="E5" s="24">
        <v>0</v>
      </c>
      <c r="F5" s="61">
        <f>C5</f>
        <v>0</v>
      </c>
      <c r="G5" s="24">
        <v>0</v>
      </c>
      <c r="H5" s="25">
        <v>0</v>
      </c>
      <c r="I5" s="61">
        <f>F5</f>
        <v>0</v>
      </c>
      <c r="J5" s="24">
        <v>0</v>
      </c>
      <c r="K5" s="25">
        <v>0</v>
      </c>
      <c r="L5" s="62">
        <f>I5*1.02</f>
        <v>0</v>
      </c>
      <c r="M5" s="24">
        <v>0</v>
      </c>
      <c r="N5" s="25">
        <v>0</v>
      </c>
      <c r="P5" s="24"/>
      <c r="Q5" s="24">
        <f t="shared" si="1"/>
        <v>0</v>
      </c>
      <c r="R5" s="26" t="e">
        <f t="shared" si="2"/>
        <v>#DIV/0!</v>
      </c>
      <c r="S5" s="24"/>
      <c r="T5" s="27" t="e">
        <f t="shared" si="3"/>
        <v>#DIV/0!</v>
      </c>
      <c r="U5" s="24"/>
      <c r="V5" s="27" t="e">
        <f t="shared" si="4"/>
        <v>#DIV/0!</v>
      </c>
      <c r="W5" s="26">
        <f t="shared" si="5"/>
        <v>0</v>
      </c>
      <c r="Y5" s="56"/>
    </row>
    <row r="6" spans="1:25" x14ac:dyDescent="0.2">
      <c r="A6" s="16" t="s">
        <v>64</v>
      </c>
      <c r="B6" s="23">
        <f t="shared" si="0"/>
        <v>153.26400000000001</v>
      </c>
      <c r="C6" s="25">
        <v>0</v>
      </c>
      <c r="D6" s="24">
        <v>0</v>
      </c>
      <c r="E6" s="61">
        <f>'17'!N6</f>
        <v>37.200000000000003</v>
      </c>
      <c r="F6" s="25">
        <v>0</v>
      </c>
      <c r="G6" s="24">
        <v>0</v>
      </c>
      <c r="H6" s="61">
        <f>E6</f>
        <v>37.200000000000003</v>
      </c>
      <c r="I6" s="25">
        <v>0</v>
      </c>
      <c r="J6" s="24">
        <v>0</v>
      </c>
      <c r="K6" s="62">
        <f>H6*1.06</f>
        <v>39.432000000000002</v>
      </c>
      <c r="L6" s="25">
        <v>0</v>
      </c>
      <c r="M6" s="24">
        <v>0</v>
      </c>
      <c r="N6" s="61">
        <f>K6</f>
        <v>39.432000000000002</v>
      </c>
      <c r="O6" s="22">
        <v>60</v>
      </c>
      <c r="P6" s="24">
        <v>2.48</v>
      </c>
      <c r="Q6" s="24">
        <f t="shared" si="1"/>
        <v>148.80000000000001</v>
      </c>
      <c r="R6" s="26">
        <f t="shared" si="2"/>
        <v>61.804333333333339</v>
      </c>
      <c r="S6" s="24">
        <v>3708.26</v>
      </c>
      <c r="T6" s="27">
        <f t="shared" si="3"/>
        <v>4.0126636212131833E-2</v>
      </c>
      <c r="U6" s="24">
        <v>3351</v>
      </c>
      <c r="V6" s="27">
        <f t="shared" si="4"/>
        <v>4.4404655326768135E-2</v>
      </c>
      <c r="W6" s="26">
        <f t="shared" si="5"/>
        <v>-357.26000000000022</v>
      </c>
      <c r="X6" s="56"/>
      <c r="Y6" s="56"/>
    </row>
    <row r="7" spans="1:25" x14ac:dyDescent="0.2">
      <c r="A7" s="16" t="s">
        <v>58</v>
      </c>
      <c r="B7" s="23">
        <f t="shared" si="0"/>
        <v>51.765000000000008</v>
      </c>
      <c r="C7" s="61">
        <f>'17'!K7</f>
        <v>12.75</v>
      </c>
      <c r="D7" s="24">
        <v>0</v>
      </c>
      <c r="E7" s="24">
        <v>0</v>
      </c>
      <c r="F7" s="62">
        <f>C7*1.02</f>
        <v>13.005000000000001</v>
      </c>
      <c r="G7" s="24">
        <v>0</v>
      </c>
      <c r="H7" s="25">
        <v>0</v>
      </c>
      <c r="I7" s="61">
        <f>F7</f>
        <v>13.005000000000001</v>
      </c>
      <c r="J7" s="24">
        <v>0</v>
      </c>
      <c r="K7" s="25">
        <v>0</v>
      </c>
      <c r="L7" s="61">
        <f>I7</f>
        <v>13.005000000000001</v>
      </c>
      <c r="M7" s="24">
        <v>0</v>
      </c>
      <c r="N7" s="25">
        <v>0</v>
      </c>
      <c r="O7" s="22">
        <v>25</v>
      </c>
      <c r="P7" s="24">
        <v>2.04</v>
      </c>
      <c r="Q7" s="24">
        <f t="shared" si="1"/>
        <v>51</v>
      </c>
      <c r="R7" s="26">
        <f t="shared" si="2"/>
        <v>57.625200000000007</v>
      </c>
      <c r="S7" s="24">
        <v>1440.63</v>
      </c>
      <c r="T7" s="27">
        <f t="shared" si="3"/>
        <v>3.5401178651006851E-2</v>
      </c>
      <c r="U7" s="24">
        <v>1879.5</v>
      </c>
      <c r="V7" s="27">
        <f t="shared" si="4"/>
        <v>2.7134876296887472E-2</v>
      </c>
      <c r="W7" s="26">
        <f t="shared" si="5"/>
        <v>438.86999999999989</v>
      </c>
      <c r="Y7" s="56"/>
    </row>
    <row r="8" spans="1:25" x14ac:dyDescent="0.2">
      <c r="A8" s="16" t="s">
        <v>45</v>
      </c>
      <c r="B8" s="23">
        <f t="shared" si="0"/>
        <v>47.239500000000007</v>
      </c>
      <c r="C8" s="24">
        <v>0</v>
      </c>
      <c r="D8" s="24">
        <v>0</v>
      </c>
      <c r="E8" s="61">
        <f>'17'!N8</f>
        <v>11.55</v>
      </c>
      <c r="F8" s="24">
        <v>0</v>
      </c>
      <c r="G8" s="24">
        <v>0</v>
      </c>
      <c r="H8" s="62">
        <f>E8*1.03</f>
        <v>11.896500000000001</v>
      </c>
      <c r="I8" s="24">
        <v>0</v>
      </c>
      <c r="J8" s="24">
        <v>0</v>
      </c>
      <c r="K8" s="61">
        <f>H8</f>
        <v>11.896500000000001</v>
      </c>
      <c r="L8" s="24">
        <v>0</v>
      </c>
      <c r="M8" s="24">
        <v>0</v>
      </c>
      <c r="N8" s="61">
        <f>K8</f>
        <v>11.896500000000001</v>
      </c>
      <c r="O8" s="22">
        <v>15</v>
      </c>
      <c r="P8" s="24">
        <v>3</v>
      </c>
      <c r="Q8" s="24">
        <f t="shared" si="1"/>
        <v>45</v>
      </c>
      <c r="R8" s="26">
        <f t="shared" si="2"/>
        <v>82.51466666666667</v>
      </c>
      <c r="S8" s="24">
        <v>1237.72</v>
      </c>
      <c r="T8" s="27">
        <f t="shared" si="3"/>
        <v>3.6357172866237922E-2</v>
      </c>
      <c r="U8" s="24">
        <v>1224.75</v>
      </c>
      <c r="V8" s="27">
        <f t="shared" si="4"/>
        <v>3.6742192284139621E-2</v>
      </c>
      <c r="W8" s="26">
        <f t="shared" si="5"/>
        <v>-12.970000000000027</v>
      </c>
      <c r="Y8" s="56"/>
    </row>
    <row r="9" spans="1:25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P9" s="24"/>
      <c r="Q9" s="24"/>
      <c r="R9" s="26"/>
      <c r="S9" s="24"/>
      <c r="T9" s="27"/>
      <c r="U9" s="24">
        <v>226.66</v>
      </c>
    </row>
    <row r="10" spans="1:25" s="21" customFormat="1" x14ac:dyDescent="0.2">
      <c r="A10" s="21" t="s">
        <v>13</v>
      </c>
      <c r="B10" s="28">
        <f t="shared" ref="B10:N10" si="6">SUM(B3:B9)</f>
        <v>527.08849999999995</v>
      </c>
      <c r="C10" s="28">
        <f t="shared" si="6"/>
        <v>30.15</v>
      </c>
      <c r="D10" s="28">
        <f t="shared" si="6"/>
        <v>50</v>
      </c>
      <c r="E10" s="28">
        <f t="shared" si="6"/>
        <v>48.75</v>
      </c>
      <c r="F10" s="28">
        <f t="shared" si="6"/>
        <v>32.145000000000003</v>
      </c>
      <c r="G10" s="28">
        <f t="shared" si="6"/>
        <v>50</v>
      </c>
      <c r="H10" s="28">
        <f t="shared" si="6"/>
        <v>49.096500000000006</v>
      </c>
      <c r="I10" s="28">
        <f t="shared" si="6"/>
        <v>32.145000000000003</v>
      </c>
      <c r="J10" s="28">
        <f t="shared" si="6"/>
        <v>50</v>
      </c>
      <c r="K10" s="28">
        <f t="shared" si="6"/>
        <v>51.328500000000005</v>
      </c>
      <c r="L10" s="28">
        <f t="shared" si="6"/>
        <v>32.145000000000003</v>
      </c>
      <c r="M10" s="28">
        <f t="shared" si="6"/>
        <v>50</v>
      </c>
      <c r="N10" s="28">
        <f t="shared" si="6"/>
        <v>51.328500000000005</v>
      </c>
      <c r="O10" s="57"/>
      <c r="Q10" s="28">
        <f>SUM(Q3:Q9)</f>
        <v>548.40000000000009</v>
      </c>
      <c r="R10" s="58"/>
      <c r="S10" s="28">
        <f>SUM(S3:S9)</f>
        <v>10950.480000000001</v>
      </c>
      <c r="T10" s="59">
        <f>Q10/S10</f>
        <v>5.0079996493304406E-2</v>
      </c>
      <c r="U10" s="28">
        <f>SUM(U3:U9)</f>
        <v>11638.51</v>
      </c>
      <c r="V10" s="59">
        <f>B10/U10</f>
        <v>4.5288314397633367E-2</v>
      </c>
      <c r="W10" s="58">
        <f>SUM(W3:W9)</f>
        <v>461.36999999999966</v>
      </c>
    </row>
    <row r="11" spans="1:25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25" x14ac:dyDescent="0.2">
      <c r="A12" s="60">
        <v>2017</v>
      </c>
      <c r="B12" s="24">
        <f>SUM(C12:N12)</f>
        <v>506.44999999999993</v>
      </c>
      <c r="C12" s="25">
        <v>28.1</v>
      </c>
      <c r="D12" s="25">
        <v>47</v>
      </c>
      <c r="E12" s="25">
        <v>26.25</v>
      </c>
      <c r="F12" s="25">
        <v>12.75</v>
      </c>
      <c r="G12" s="25">
        <v>87</v>
      </c>
      <c r="H12" s="25">
        <v>60.3</v>
      </c>
      <c r="I12" s="25">
        <v>17.399999999999999</v>
      </c>
      <c r="J12" s="61">
        <f>'17'!J10</f>
        <v>50</v>
      </c>
      <c r="K12" s="61">
        <f>'17'!K10</f>
        <v>61.5</v>
      </c>
      <c r="L12" s="61">
        <f>'17'!L10</f>
        <v>17.399999999999999</v>
      </c>
      <c r="M12" s="61">
        <f>'17'!M10</f>
        <v>50</v>
      </c>
      <c r="N12" s="61">
        <f>'17'!N10</f>
        <v>48.75</v>
      </c>
      <c r="T12" s="33" t="s">
        <v>56</v>
      </c>
      <c r="U12" s="24"/>
    </row>
    <row r="13" spans="1:25" x14ac:dyDescent="0.2">
      <c r="A13" s="60" t="s">
        <v>26</v>
      </c>
      <c r="B13" s="27">
        <f t="shared" ref="B13:N13" si="7">(B10-B12)/B12</f>
        <v>4.0751308125185161E-2</v>
      </c>
      <c r="C13" s="27">
        <f t="shared" si="7"/>
        <v>7.295373665480416E-2</v>
      </c>
      <c r="D13" s="27">
        <f t="shared" si="7"/>
        <v>6.3829787234042548E-2</v>
      </c>
      <c r="E13" s="27">
        <f t="shared" si="7"/>
        <v>0.8571428571428571</v>
      </c>
      <c r="F13" s="27">
        <f t="shared" si="7"/>
        <v>1.5211764705882356</v>
      </c>
      <c r="G13" s="27">
        <f t="shared" si="7"/>
        <v>-0.42528735632183906</v>
      </c>
      <c r="H13" s="27">
        <f t="shared" si="7"/>
        <v>-0.18579601990049738</v>
      </c>
      <c r="I13" s="27">
        <f t="shared" si="7"/>
        <v>0.84741379310344855</v>
      </c>
      <c r="J13" s="27">
        <f t="shared" si="7"/>
        <v>0</v>
      </c>
      <c r="K13" s="27">
        <f t="shared" si="7"/>
        <v>-0.16539024390243895</v>
      </c>
      <c r="L13" s="27">
        <f t="shared" si="7"/>
        <v>0.84741379310344855</v>
      </c>
      <c r="M13" s="27">
        <f t="shared" si="7"/>
        <v>0</v>
      </c>
      <c r="N13" s="27">
        <f t="shared" si="7"/>
        <v>5.2892307692307801E-2</v>
      </c>
      <c r="T13" s="34" t="s">
        <v>57</v>
      </c>
      <c r="U13" s="27">
        <f t="shared" ref="U13" si="8">U12/U10</f>
        <v>0</v>
      </c>
    </row>
    <row r="14" spans="1:25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</sheetData>
  <pageMargins left="0.7" right="0.7" top="0.75" bottom="0.75" header="0.3" footer="0.3"/>
  <pageSetup scale="57" fitToHeight="0" orientation="landscape" r:id="rId1"/>
  <ignoredErrors>
    <ignoredError sqref="R6:V8 R10:V10 R9:T9 V9" formula="1"/>
    <ignoredError sqref="I13:N13" evalError="1"/>
    <ignoredError sqref="R5:V5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Port Wt</vt:lpstr>
      <vt:lpstr>Mthly</vt:lpstr>
      <vt:lpstr>Qtrly</vt:lpstr>
      <vt:lpstr>Yrly</vt:lpstr>
      <vt:lpstr>15</vt:lpstr>
      <vt:lpstr>Yrly-6.2017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>Global Imaging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Crosson</dc:creator>
  <cp:lastModifiedBy>Dan</cp:lastModifiedBy>
  <cp:lastPrinted>2015-01-30T19:37:44Z</cp:lastPrinted>
  <dcterms:created xsi:type="dcterms:W3CDTF">2013-07-07T21:34:05Z</dcterms:created>
  <dcterms:modified xsi:type="dcterms:W3CDTF">2017-06-23T23:05:31Z</dcterms:modified>
</cp:coreProperties>
</file>