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\Desktop\Dan's Files\Dividend Files\"/>
    </mc:Choice>
  </mc:AlternateContent>
  <bookViews>
    <workbookView xWindow="480" yWindow="2745" windowWidth="18720" windowHeight="5100" tabRatio="826" activeTab="9"/>
  </bookViews>
  <sheets>
    <sheet name="Weight" sheetId="13" r:id="rId1"/>
    <sheet name="Mthly" sheetId="4" r:id="rId2"/>
    <sheet name="Qtrly" sheetId="14" r:id="rId3"/>
    <sheet name="Yrly" sheetId="21" r:id="rId4"/>
    <sheet name="12" sheetId="7" state="hidden" r:id="rId5"/>
    <sheet name="13" sheetId="9" state="hidden" r:id="rId6"/>
    <sheet name="14" sheetId="10" state="hidden" r:id="rId7"/>
    <sheet name="15" sheetId="12" state="hidden" r:id="rId8"/>
    <sheet name="16" sheetId="15" r:id="rId9"/>
    <sheet name="17" sheetId="16" r:id="rId10"/>
    <sheet name="18" sheetId="17" r:id="rId11"/>
    <sheet name="19" sheetId="18" r:id="rId12"/>
    <sheet name="20" sheetId="19" r:id="rId13"/>
    <sheet name="21" sheetId="22" r:id="rId14"/>
    <sheet name="22" sheetId="23" r:id="rId15"/>
    <sheet name="23" sheetId="24" r:id="rId16"/>
    <sheet name="24" sheetId="25" r:id="rId17"/>
    <sheet name="25" sheetId="26" r:id="rId18"/>
    <sheet name="26" sheetId="27" r:id="rId19"/>
    <sheet name="27" sheetId="28" r:id="rId20"/>
    <sheet name="28" sheetId="29" r:id="rId21"/>
    <sheet name="29" sheetId="30" r:id="rId22"/>
    <sheet name="30" sheetId="31" r:id="rId23"/>
    <sheet name="31" sheetId="32" r:id="rId24"/>
    <sheet name="32" sheetId="33" r:id="rId25"/>
  </sheets>
  <definedNames>
    <definedName name="_xlnm._FilterDatabase" localSheetId="0" hidden="1">Weight!$A$2:$I$20</definedName>
  </definedNames>
  <calcPr calcId="171027"/>
</workbook>
</file>

<file path=xl/calcChain.xml><?xml version="1.0" encoding="utf-8"?>
<calcChain xmlns="http://schemas.openxmlformats.org/spreadsheetml/2006/main">
  <c r="C7" i="21" l="1"/>
  <c r="U22" i="16" l="1"/>
  <c r="L14" i="16" l="1"/>
  <c r="P14" i="16"/>
  <c r="C13" i="21" l="1"/>
  <c r="U26" i="22" l="1"/>
  <c r="U26" i="19"/>
  <c r="U26" i="18"/>
  <c r="L6" i="16"/>
  <c r="N4" i="19"/>
  <c r="M4" i="19"/>
  <c r="L4" i="19"/>
  <c r="K4" i="19"/>
  <c r="J4" i="19"/>
  <c r="I4" i="19"/>
  <c r="H4" i="19"/>
  <c r="G4" i="19"/>
  <c r="F4" i="19"/>
  <c r="E4" i="19"/>
  <c r="D4" i="19"/>
  <c r="C4" i="19"/>
  <c r="N4" i="18"/>
  <c r="M4" i="18"/>
  <c r="L4" i="18"/>
  <c r="K4" i="18"/>
  <c r="J4" i="18"/>
  <c r="I4" i="18"/>
  <c r="H4" i="18"/>
  <c r="G4" i="18"/>
  <c r="F4" i="18"/>
  <c r="E4" i="18"/>
  <c r="D4" i="18"/>
  <c r="C4" i="18"/>
  <c r="N4" i="17"/>
  <c r="M4" i="17"/>
  <c r="L4" i="17"/>
  <c r="K4" i="17"/>
  <c r="J4" i="17"/>
  <c r="I4" i="17"/>
  <c r="H4" i="17"/>
  <c r="G4" i="17"/>
  <c r="F4" i="17"/>
  <c r="E4" i="17"/>
  <c r="D4" i="17"/>
  <c r="C4" i="17"/>
  <c r="P16" i="23" l="1"/>
  <c r="P15" i="23"/>
  <c r="P5" i="23"/>
  <c r="P16" i="22"/>
  <c r="P15" i="22"/>
  <c r="P5" i="22"/>
  <c r="P16" i="19"/>
  <c r="P15" i="19"/>
  <c r="P5" i="19"/>
  <c r="P16" i="18"/>
  <c r="P15" i="18"/>
  <c r="P5" i="18"/>
  <c r="I4" i="16" l="1"/>
  <c r="J4" i="16" s="1"/>
  <c r="K4" i="16" s="1"/>
  <c r="L4" i="16" s="1"/>
  <c r="M4" i="16" s="1"/>
  <c r="N4" i="16" s="1"/>
  <c r="P3" i="16" l="1"/>
  <c r="P12" i="16" l="1"/>
  <c r="U25" i="16" l="1"/>
  <c r="U23" i="33" l="1"/>
  <c r="S23" i="33"/>
  <c r="W21" i="33"/>
  <c r="V21" i="33"/>
  <c r="T21" i="33"/>
  <c r="R21" i="33"/>
  <c r="Q21" i="33"/>
  <c r="W20" i="33"/>
  <c r="T20" i="33"/>
  <c r="Q20" i="33"/>
  <c r="V20" i="33" s="1"/>
  <c r="W19" i="33"/>
  <c r="T19" i="33"/>
  <c r="Q19" i="33"/>
  <c r="V19" i="33" s="1"/>
  <c r="W18" i="33"/>
  <c r="T18" i="33"/>
  <c r="P18" i="33"/>
  <c r="Q18" i="33" s="1"/>
  <c r="V18" i="33" s="1"/>
  <c r="W17" i="33"/>
  <c r="T17" i="33"/>
  <c r="Q17" i="33"/>
  <c r="V17" i="33" s="1"/>
  <c r="W16" i="33"/>
  <c r="T16" i="33"/>
  <c r="Q16" i="33"/>
  <c r="V16" i="33" s="1"/>
  <c r="P16" i="33"/>
  <c r="W15" i="33"/>
  <c r="P15" i="33"/>
  <c r="T15" i="33" s="1"/>
  <c r="W14" i="33"/>
  <c r="R14" i="33"/>
  <c r="T14" i="33" s="1"/>
  <c r="Q14" i="33"/>
  <c r="V14" i="33" s="1"/>
  <c r="W13" i="33"/>
  <c r="V13" i="33"/>
  <c r="R13" i="33"/>
  <c r="T13" i="33" s="1"/>
  <c r="Q13" i="33"/>
  <c r="W12" i="33"/>
  <c r="T12" i="33"/>
  <c r="Q12" i="33"/>
  <c r="V12" i="33" s="1"/>
  <c r="P12" i="33"/>
  <c r="W11" i="33"/>
  <c r="V11" i="33"/>
  <c r="R11" i="33"/>
  <c r="T11" i="33" s="1"/>
  <c r="Q11" i="33"/>
  <c r="W10" i="33"/>
  <c r="R10" i="33"/>
  <c r="T10" i="33" s="1"/>
  <c r="Q10" i="33"/>
  <c r="V10" i="33" s="1"/>
  <c r="W9" i="33"/>
  <c r="V9" i="33"/>
  <c r="T9" i="33"/>
  <c r="R9" i="33"/>
  <c r="Q9" i="33"/>
  <c r="W8" i="33"/>
  <c r="R8" i="33"/>
  <c r="T8" i="33" s="1"/>
  <c r="Q8" i="33"/>
  <c r="V8" i="33" s="1"/>
  <c r="P8" i="33"/>
  <c r="W7" i="33"/>
  <c r="R7" i="33"/>
  <c r="T7" i="33" s="1"/>
  <c r="Q7" i="33"/>
  <c r="V7" i="33" s="1"/>
  <c r="W6" i="33"/>
  <c r="V6" i="33"/>
  <c r="T6" i="33"/>
  <c r="R6" i="33"/>
  <c r="W5" i="33"/>
  <c r="R5" i="33"/>
  <c r="P5" i="33"/>
  <c r="T5" i="33" s="1"/>
  <c r="W4" i="33"/>
  <c r="V4" i="33"/>
  <c r="T4" i="33"/>
  <c r="R4" i="33"/>
  <c r="Q4" i="33"/>
  <c r="W3" i="33"/>
  <c r="W23" i="33" s="1"/>
  <c r="R3" i="33"/>
  <c r="T3" i="33" s="1"/>
  <c r="Q3" i="33"/>
  <c r="V3" i="33" s="1"/>
  <c r="U23" i="32"/>
  <c r="S23" i="32"/>
  <c r="W21" i="32"/>
  <c r="V21" i="32"/>
  <c r="T21" i="32"/>
  <c r="R21" i="32"/>
  <c r="Q21" i="32"/>
  <c r="W20" i="32"/>
  <c r="T20" i="32"/>
  <c r="Q20" i="32"/>
  <c r="V20" i="32" s="1"/>
  <c r="W19" i="32"/>
  <c r="T19" i="32"/>
  <c r="Q19" i="32"/>
  <c r="V19" i="32" s="1"/>
  <c r="W18" i="32"/>
  <c r="V18" i="32"/>
  <c r="T18" i="32"/>
  <c r="Q18" i="32"/>
  <c r="P18" i="32"/>
  <c r="W17" i="32"/>
  <c r="T17" i="32"/>
  <c r="Q17" i="32"/>
  <c r="V17" i="32" s="1"/>
  <c r="W16" i="32"/>
  <c r="T16" i="32"/>
  <c r="Q16" i="32"/>
  <c r="V16" i="32" s="1"/>
  <c r="P16" i="32"/>
  <c r="W15" i="32"/>
  <c r="P15" i="32"/>
  <c r="T15" i="32" s="1"/>
  <c r="W14" i="32"/>
  <c r="R14" i="32"/>
  <c r="T14" i="32" s="1"/>
  <c r="Q14" i="32"/>
  <c r="V14" i="32" s="1"/>
  <c r="W13" i="32"/>
  <c r="V13" i="32"/>
  <c r="T13" i="32"/>
  <c r="R13" i="32"/>
  <c r="Q13" i="32"/>
  <c r="W12" i="32"/>
  <c r="T12" i="32"/>
  <c r="Q12" i="32"/>
  <c r="V12" i="32" s="1"/>
  <c r="P12" i="32"/>
  <c r="W11" i="32"/>
  <c r="V11" i="32"/>
  <c r="T11" i="32"/>
  <c r="R11" i="32"/>
  <c r="Q11" i="32"/>
  <c r="W10" i="32"/>
  <c r="R10" i="32"/>
  <c r="T10" i="32" s="1"/>
  <c r="Q10" i="32"/>
  <c r="V10" i="32" s="1"/>
  <c r="W9" i="32"/>
  <c r="V9" i="32"/>
  <c r="T9" i="32"/>
  <c r="R9" i="32"/>
  <c r="Q9" i="32"/>
  <c r="W8" i="32"/>
  <c r="R8" i="32"/>
  <c r="T8" i="32" s="1"/>
  <c r="Q8" i="32"/>
  <c r="V8" i="32" s="1"/>
  <c r="P8" i="32"/>
  <c r="W7" i="32"/>
  <c r="R7" i="32"/>
  <c r="T7" i="32" s="1"/>
  <c r="Q7" i="32"/>
  <c r="V7" i="32" s="1"/>
  <c r="W6" i="32"/>
  <c r="V6" i="32"/>
  <c r="T6" i="32"/>
  <c r="R6" i="32"/>
  <c r="W5" i="32"/>
  <c r="R5" i="32"/>
  <c r="P5" i="32"/>
  <c r="T5" i="32" s="1"/>
  <c r="W4" i="32"/>
  <c r="V4" i="32"/>
  <c r="T4" i="32"/>
  <c r="R4" i="32"/>
  <c r="Q4" i="32"/>
  <c r="W3" i="32"/>
  <c r="W23" i="32" s="1"/>
  <c r="R3" i="32"/>
  <c r="T3" i="32" s="1"/>
  <c r="Q3" i="32"/>
  <c r="V3" i="32" s="1"/>
  <c r="U23" i="31"/>
  <c r="S23" i="31"/>
  <c r="W21" i="31"/>
  <c r="T21" i="31"/>
  <c r="R21" i="31"/>
  <c r="Q21" i="31"/>
  <c r="V21" i="31" s="1"/>
  <c r="W20" i="31"/>
  <c r="V20" i="31"/>
  <c r="T20" i="31"/>
  <c r="Q20" i="31"/>
  <c r="W19" i="31"/>
  <c r="T19" i="31"/>
  <c r="Q19" i="31"/>
  <c r="V19" i="31" s="1"/>
  <c r="W18" i="31"/>
  <c r="T18" i="31"/>
  <c r="P18" i="31"/>
  <c r="Q18" i="31" s="1"/>
  <c r="V18" i="31" s="1"/>
  <c r="W17" i="31"/>
  <c r="V17" i="31"/>
  <c r="T17" i="31"/>
  <c r="Q17" i="31"/>
  <c r="W16" i="31"/>
  <c r="Q16" i="31"/>
  <c r="V16" i="31" s="1"/>
  <c r="P16" i="31"/>
  <c r="T16" i="31" s="1"/>
  <c r="W15" i="31"/>
  <c r="V15" i="31"/>
  <c r="T15" i="31"/>
  <c r="Q15" i="31"/>
  <c r="P15" i="31"/>
  <c r="W14" i="31"/>
  <c r="R14" i="31"/>
  <c r="T14" i="31" s="1"/>
  <c r="Q14" i="31"/>
  <c r="V14" i="31" s="1"/>
  <c r="W13" i="31"/>
  <c r="V13" i="31"/>
  <c r="T13" i="31"/>
  <c r="R13" i="31"/>
  <c r="Q13" i="31"/>
  <c r="W12" i="31"/>
  <c r="Q12" i="31"/>
  <c r="V12" i="31" s="1"/>
  <c r="P12" i="31"/>
  <c r="T12" i="31" s="1"/>
  <c r="W11" i="31"/>
  <c r="V11" i="31"/>
  <c r="T11" i="31"/>
  <c r="R11" i="31"/>
  <c r="Q11" i="31"/>
  <c r="W10" i="31"/>
  <c r="R10" i="31"/>
  <c r="T10" i="31" s="1"/>
  <c r="Q10" i="31"/>
  <c r="V10" i="31" s="1"/>
  <c r="W9" i="31"/>
  <c r="V9" i="31"/>
  <c r="T9" i="31"/>
  <c r="R9" i="31"/>
  <c r="Q9" i="31"/>
  <c r="W8" i="31"/>
  <c r="R8" i="31"/>
  <c r="Q8" i="31"/>
  <c r="V8" i="31" s="1"/>
  <c r="P8" i="31"/>
  <c r="T8" i="31" s="1"/>
  <c r="W7" i="31"/>
  <c r="T7" i="31"/>
  <c r="R7" i="31"/>
  <c r="Q7" i="31"/>
  <c r="V7" i="31" s="1"/>
  <c r="W6" i="31"/>
  <c r="V6" i="31"/>
  <c r="T6" i="31"/>
  <c r="R6" i="31"/>
  <c r="W5" i="31"/>
  <c r="R5" i="31"/>
  <c r="P5" i="31"/>
  <c r="T5" i="31" s="1"/>
  <c r="W4" i="31"/>
  <c r="T4" i="31"/>
  <c r="R4" i="31"/>
  <c r="Q4" i="31"/>
  <c r="V4" i="31" s="1"/>
  <c r="W3" i="31"/>
  <c r="W23" i="31" s="1"/>
  <c r="T3" i="31"/>
  <c r="R3" i="31"/>
  <c r="Q3" i="31"/>
  <c r="V3" i="31" s="1"/>
  <c r="U23" i="30"/>
  <c r="S23" i="30"/>
  <c r="W21" i="30"/>
  <c r="V21" i="30"/>
  <c r="T21" i="30"/>
  <c r="R21" i="30"/>
  <c r="Q21" i="30"/>
  <c r="W20" i="30"/>
  <c r="T20" i="30"/>
  <c r="Q20" i="30"/>
  <c r="V20" i="30" s="1"/>
  <c r="W19" i="30"/>
  <c r="T19" i="30"/>
  <c r="Q19" i="30"/>
  <c r="V19" i="30" s="1"/>
  <c r="W18" i="30"/>
  <c r="V18" i="30"/>
  <c r="T18" i="30"/>
  <c r="Q18" i="30"/>
  <c r="P18" i="30"/>
  <c r="W17" i="30"/>
  <c r="T17" i="30"/>
  <c r="Q17" i="30"/>
  <c r="V17" i="30" s="1"/>
  <c r="W16" i="30"/>
  <c r="T16" i="30"/>
  <c r="Q16" i="30"/>
  <c r="V16" i="30" s="1"/>
  <c r="P16" i="30"/>
  <c r="W15" i="30"/>
  <c r="P15" i="30"/>
  <c r="T15" i="30" s="1"/>
  <c r="W14" i="30"/>
  <c r="R14" i="30"/>
  <c r="T14" i="30" s="1"/>
  <c r="Q14" i="30"/>
  <c r="V14" i="30" s="1"/>
  <c r="W13" i="30"/>
  <c r="V13" i="30"/>
  <c r="T13" i="30"/>
  <c r="R13" i="30"/>
  <c r="Q13" i="30"/>
  <c r="W12" i="30"/>
  <c r="T12" i="30"/>
  <c r="Q12" i="30"/>
  <c r="V12" i="30" s="1"/>
  <c r="P12" i="30"/>
  <c r="W11" i="30"/>
  <c r="V11" i="30"/>
  <c r="T11" i="30"/>
  <c r="R11" i="30"/>
  <c r="Q11" i="30"/>
  <c r="W10" i="30"/>
  <c r="R10" i="30"/>
  <c r="T10" i="30" s="1"/>
  <c r="Q10" i="30"/>
  <c r="V10" i="30" s="1"/>
  <c r="W9" i="30"/>
  <c r="V9" i="30"/>
  <c r="T9" i="30"/>
  <c r="R9" i="30"/>
  <c r="Q9" i="30"/>
  <c r="W8" i="30"/>
  <c r="R8" i="30"/>
  <c r="T8" i="30" s="1"/>
  <c r="Q8" i="30"/>
  <c r="V8" i="30" s="1"/>
  <c r="P8" i="30"/>
  <c r="W7" i="30"/>
  <c r="R7" i="30"/>
  <c r="T7" i="30" s="1"/>
  <c r="Q7" i="30"/>
  <c r="V7" i="30" s="1"/>
  <c r="W6" i="30"/>
  <c r="V6" i="30"/>
  <c r="T6" i="30"/>
  <c r="R6" i="30"/>
  <c r="W5" i="30"/>
  <c r="R5" i="30"/>
  <c r="P5" i="30"/>
  <c r="T5" i="30" s="1"/>
  <c r="W4" i="30"/>
  <c r="V4" i="30"/>
  <c r="T4" i="30"/>
  <c r="R4" i="30"/>
  <c r="Q4" i="30"/>
  <c r="W3" i="30"/>
  <c r="W23" i="30" s="1"/>
  <c r="R3" i="30"/>
  <c r="T3" i="30" s="1"/>
  <c r="Q3" i="30"/>
  <c r="V3" i="30" s="1"/>
  <c r="W17" i="29"/>
  <c r="T17" i="29"/>
  <c r="Q17" i="29"/>
  <c r="V17" i="29" s="1"/>
  <c r="W17" i="28"/>
  <c r="T17" i="28"/>
  <c r="Q17" i="28"/>
  <c r="V17" i="28" s="1"/>
  <c r="W17" i="27"/>
  <c r="T17" i="27"/>
  <c r="Q17" i="27"/>
  <c r="V17" i="27" s="1"/>
  <c r="W17" i="26"/>
  <c r="T17" i="26"/>
  <c r="Q17" i="26"/>
  <c r="V17" i="26" s="1"/>
  <c r="W17" i="25"/>
  <c r="T17" i="25"/>
  <c r="Q17" i="25"/>
  <c r="V17" i="25" s="1"/>
  <c r="W17" i="24"/>
  <c r="T17" i="24"/>
  <c r="Q17" i="24"/>
  <c r="V17" i="24" s="1"/>
  <c r="W17" i="23"/>
  <c r="T17" i="23"/>
  <c r="Q17" i="23"/>
  <c r="V17" i="23" s="1"/>
  <c r="W17" i="22"/>
  <c r="T17" i="22"/>
  <c r="Q17" i="22"/>
  <c r="V17" i="22" s="1"/>
  <c r="W17" i="19"/>
  <c r="T17" i="19"/>
  <c r="Q17" i="19"/>
  <c r="V17" i="19" s="1"/>
  <c r="W17" i="18"/>
  <c r="T17" i="18"/>
  <c r="Q17" i="18"/>
  <c r="V17" i="18" s="1"/>
  <c r="W17" i="17"/>
  <c r="T17" i="17"/>
  <c r="Q17" i="17"/>
  <c r="V17" i="17" s="1"/>
  <c r="U23" i="29"/>
  <c r="S23" i="29"/>
  <c r="W21" i="29"/>
  <c r="V21" i="29"/>
  <c r="T21" i="29"/>
  <c r="R21" i="29"/>
  <c r="Q21" i="29"/>
  <c r="W20" i="29"/>
  <c r="T20" i="29"/>
  <c r="Q20" i="29"/>
  <c r="V20" i="29" s="1"/>
  <c r="W19" i="29"/>
  <c r="T19" i="29"/>
  <c r="Q19" i="29"/>
  <c r="V19" i="29" s="1"/>
  <c r="W18" i="29"/>
  <c r="T18" i="29"/>
  <c r="P18" i="29"/>
  <c r="Q18" i="29" s="1"/>
  <c r="V18" i="29" s="1"/>
  <c r="W16" i="29"/>
  <c r="T16" i="29"/>
  <c r="Q16" i="29"/>
  <c r="V16" i="29" s="1"/>
  <c r="P16" i="29"/>
  <c r="W15" i="29"/>
  <c r="P15" i="29"/>
  <c r="T15" i="29" s="1"/>
  <c r="W14" i="29"/>
  <c r="R14" i="29"/>
  <c r="T14" i="29" s="1"/>
  <c r="Q14" i="29"/>
  <c r="V14" i="29" s="1"/>
  <c r="W13" i="29"/>
  <c r="V13" i="29"/>
  <c r="T13" i="29"/>
  <c r="R13" i="29"/>
  <c r="Q13" i="29"/>
  <c r="W12" i="29"/>
  <c r="T12" i="29"/>
  <c r="Q12" i="29"/>
  <c r="V12" i="29" s="1"/>
  <c r="P12" i="29"/>
  <c r="W11" i="29"/>
  <c r="V11" i="29"/>
  <c r="R11" i="29"/>
  <c r="T11" i="29" s="1"/>
  <c r="Q11" i="29"/>
  <c r="W10" i="29"/>
  <c r="R10" i="29"/>
  <c r="T10" i="29" s="1"/>
  <c r="Q10" i="29"/>
  <c r="V10" i="29" s="1"/>
  <c r="W9" i="29"/>
  <c r="V9" i="29"/>
  <c r="T9" i="29"/>
  <c r="R9" i="29"/>
  <c r="Q9" i="29"/>
  <c r="W8" i="29"/>
  <c r="R8" i="29"/>
  <c r="T8" i="29" s="1"/>
  <c r="Q8" i="29"/>
  <c r="V8" i="29" s="1"/>
  <c r="P8" i="29"/>
  <c r="W7" i="29"/>
  <c r="R7" i="29"/>
  <c r="T7" i="29" s="1"/>
  <c r="Q7" i="29"/>
  <c r="V7" i="29" s="1"/>
  <c r="W6" i="29"/>
  <c r="V6" i="29"/>
  <c r="T6" i="29"/>
  <c r="R6" i="29"/>
  <c r="W5" i="29"/>
  <c r="R5" i="29"/>
  <c r="P5" i="29"/>
  <c r="T5" i="29" s="1"/>
  <c r="W4" i="29"/>
  <c r="V4" i="29"/>
  <c r="T4" i="29"/>
  <c r="R4" i="29"/>
  <c r="Q4" i="29"/>
  <c r="W3" i="29"/>
  <c r="W23" i="29" s="1"/>
  <c r="R3" i="29"/>
  <c r="T3" i="29" s="1"/>
  <c r="Q3" i="29"/>
  <c r="V3" i="29" s="1"/>
  <c r="U23" i="28"/>
  <c r="S23" i="28"/>
  <c r="W21" i="28"/>
  <c r="V21" i="28"/>
  <c r="T21" i="28"/>
  <c r="R21" i="28"/>
  <c r="Q21" i="28"/>
  <c r="W20" i="28"/>
  <c r="T20" i="28"/>
  <c r="Q20" i="28"/>
  <c r="V20" i="28" s="1"/>
  <c r="W19" i="28"/>
  <c r="T19" i="28"/>
  <c r="Q19" i="28"/>
  <c r="V19" i="28" s="1"/>
  <c r="W18" i="28"/>
  <c r="V18" i="28"/>
  <c r="T18" i="28"/>
  <c r="Q18" i="28"/>
  <c r="P18" i="28"/>
  <c r="W16" i="28"/>
  <c r="T16" i="28"/>
  <c r="Q16" i="28"/>
  <c r="V16" i="28" s="1"/>
  <c r="P16" i="28"/>
  <c r="W15" i="28"/>
  <c r="P15" i="28"/>
  <c r="T15" i="28" s="1"/>
  <c r="W14" i="28"/>
  <c r="R14" i="28"/>
  <c r="T14" i="28" s="1"/>
  <c r="Q14" i="28"/>
  <c r="V14" i="28" s="1"/>
  <c r="W13" i="28"/>
  <c r="V13" i="28"/>
  <c r="T13" i="28"/>
  <c r="R13" i="28"/>
  <c r="Q13" i="28"/>
  <c r="W12" i="28"/>
  <c r="T12" i="28"/>
  <c r="Q12" i="28"/>
  <c r="V12" i="28" s="1"/>
  <c r="P12" i="28"/>
  <c r="W11" i="28"/>
  <c r="V11" i="28"/>
  <c r="T11" i="28"/>
  <c r="R11" i="28"/>
  <c r="Q11" i="28"/>
  <c r="W10" i="28"/>
  <c r="R10" i="28"/>
  <c r="T10" i="28" s="1"/>
  <c r="Q10" i="28"/>
  <c r="V10" i="28" s="1"/>
  <c r="W9" i="28"/>
  <c r="V9" i="28"/>
  <c r="T9" i="28"/>
  <c r="R9" i="28"/>
  <c r="Q9" i="28"/>
  <c r="W8" i="28"/>
  <c r="R8" i="28"/>
  <c r="T8" i="28" s="1"/>
  <c r="Q8" i="28"/>
  <c r="V8" i="28" s="1"/>
  <c r="P8" i="28"/>
  <c r="W7" i="28"/>
  <c r="R7" i="28"/>
  <c r="T7" i="28" s="1"/>
  <c r="Q7" i="28"/>
  <c r="V7" i="28" s="1"/>
  <c r="W6" i="28"/>
  <c r="V6" i="28"/>
  <c r="T6" i="28"/>
  <c r="R6" i="28"/>
  <c r="W5" i="28"/>
  <c r="R5" i="28"/>
  <c r="P5" i="28"/>
  <c r="T5" i="28" s="1"/>
  <c r="W4" i="28"/>
  <c r="V4" i="28"/>
  <c r="T4" i="28"/>
  <c r="R4" i="28"/>
  <c r="Q4" i="28"/>
  <c r="W3" i="28"/>
  <c r="W23" i="28" s="1"/>
  <c r="R3" i="28"/>
  <c r="T3" i="28" s="1"/>
  <c r="Q3" i="28"/>
  <c r="V3" i="28" s="1"/>
  <c r="U23" i="27"/>
  <c r="S23" i="27"/>
  <c r="W21" i="27"/>
  <c r="V21" i="27"/>
  <c r="T21" i="27"/>
  <c r="R21" i="27"/>
  <c r="Q21" i="27"/>
  <c r="W20" i="27"/>
  <c r="T20" i="27"/>
  <c r="Q20" i="27"/>
  <c r="V20" i="27" s="1"/>
  <c r="W19" i="27"/>
  <c r="T19" i="27"/>
  <c r="Q19" i="27"/>
  <c r="V19" i="27" s="1"/>
  <c r="W18" i="27"/>
  <c r="T18" i="27"/>
  <c r="P18" i="27"/>
  <c r="Q18" i="27" s="1"/>
  <c r="V18" i="27" s="1"/>
  <c r="W16" i="27"/>
  <c r="T16" i="27"/>
  <c r="Q16" i="27"/>
  <c r="V16" i="27" s="1"/>
  <c r="P16" i="27"/>
  <c r="W15" i="27"/>
  <c r="P15" i="27"/>
  <c r="T15" i="27" s="1"/>
  <c r="W14" i="27"/>
  <c r="R14" i="27"/>
  <c r="T14" i="27" s="1"/>
  <c r="Q14" i="27"/>
  <c r="V14" i="27" s="1"/>
  <c r="W13" i="27"/>
  <c r="V13" i="27"/>
  <c r="T13" i="27"/>
  <c r="R13" i="27"/>
  <c r="Q13" i="27"/>
  <c r="W12" i="27"/>
  <c r="T12" i="27"/>
  <c r="Q12" i="27"/>
  <c r="V12" i="27" s="1"/>
  <c r="P12" i="27"/>
  <c r="W11" i="27"/>
  <c r="V11" i="27"/>
  <c r="T11" i="27"/>
  <c r="R11" i="27"/>
  <c r="Q11" i="27"/>
  <c r="W10" i="27"/>
  <c r="R10" i="27"/>
  <c r="T10" i="27" s="1"/>
  <c r="Q10" i="27"/>
  <c r="V10" i="27" s="1"/>
  <c r="W9" i="27"/>
  <c r="V9" i="27"/>
  <c r="T9" i="27"/>
  <c r="R9" i="27"/>
  <c r="Q9" i="27"/>
  <c r="W8" i="27"/>
  <c r="R8" i="27"/>
  <c r="T8" i="27" s="1"/>
  <c r="Q8" i="27"/>
  <c r="V8" i="27" s="1"/>
  <c r="P8" i="27"/>
  <c r="W7" i="27"/>
  <c r="R7" i="27"/>
  <c r="T7" i="27" s="1"/>
  <c r="Q7" i="27"/>
  <c r="V7" i="27" s="1"/>
  <c r="W6" i="27"/>
  <c r="V6" i="27"/>
  <c r="T6" i="27"/>
  <c r="R6" i="27"/>
  <c r="W5" i="27"/>
  <c r="R5" i="27"/>
  <c r="P5" i="27"/>
  <c r="T5" i="27" s="1"/>
  <c r="W4" i="27"/>
  <c r="V4" i="27"/>
  <c r="T4" i="27"/>
  <c r="R4" i="27"/>
  <c r="Q4" i="27"/>
  <c r="W3" i="27"/>
  <c r="W23" i="27" s="1"/>
  <c r="R3" i="27"/>
  <c r="T3" i="27" s="1"/>
  <c r="Q3" i="27"/>
  <c r="V3" i="27" s="1"/>
  <c r="U23" i="26"/>
  <c r="S23" i="26"/>
  <c r="W21" i="26"/>
  <c r="T21" i="26"/>
  <c r="R21" i="26"/>
  <c r="Q21" i="26"/>
  <c r="V21" i="26" s="1"/>
  <c r="W20" i="26"/>
  <c r="V20" i="26"/>
  <c r="T20" i="26"/>
  <c r="Q20" i="26"/>
  <c r="W19" i="26"/>
  <c r="T19" i="26"/>
  <c r="Q19" i="26"/>
  <c r="V19" i="26" s="1"/>
  <c r="W18" i="26"/>
  <c r="T18" i="26"/>
  <c r="Q18" i="26"/>
  <c r="V18" i="26" s="1"/>
  <c r="P18" i="26"/>
  <c r="W16" i="26"/>
  <c r="Q16" i="26"/>
  <c r="V16" i="26" s="1"/>
  <c r="P16" i="26"/>
  <c r="T16" i="26" s="1"/>
  <c r="W15" i="26"/>
  <c r="T15" i="26"/>
  <c r="P15" i="26"/>
  <c r="Q15" i="26" s="1"/>
  <c r="V15" i="26" s="1"/>
  <c r="W14" i="26"/>
  <c r="R14" i="26"/>
  <c r="T14" i="26" s="1"/>
  <c r="Q14" i="26"/>
  <c r="V14" i="26" s="1"/>
  <c r="W13" i="26"/>
  <c r="V13" i="26"/>
  <c r="T13" i="26"/>
  <c r="R13" i="26"/>
  <c r="Q13" i="26"/>
  <c r="W12" i="26"/>
  <c r="Q12" i="26"/>
  <c r="V12" i="26" s="1"/>
  <c r="P12" i="26"/>
  <c r="T12" i="26" s="1"/>
  <c r="W11" i="26"/>
  <c r="V11" i="26"/>
  <c r="T11" i="26"/>
  <c r="R11" i="26"/>
  <c r="Q11" i="26"/>
  <c r="W10" i="26"/>
  <c r="R10" i="26"/>
  <c r="T10" i="26" s="1"/>
  <c r="Q10" i="26"/>
  <c r="V10" i="26" s="1"/>
  <c r="W9" i="26"/>
  <c r="V9" i="26"/>
  <c r="T9" i="26"/>
  <c r="R9" i="26"/>
  <c r="Q9" i="26"/>
  <c r="W8" i="26"/>
  <c r="R8" i="26"/>
  <c r="T8" i="26" s="1"/>
  <c r="Q8" i="26"/>
  <c r="V8" i="26" s="1"/>
  <c r="P8" i="26"/>
  <c r="W7" i="26"/>
  <c r="R7" i="26"/>
  <c r="T7" i="26" s="1"/>
  <c r="Q7" i="26"/>
  <c r="V7" i="26" s="1"/>
  <c r="W6" i="26"/>
  <c r="V6" i="26"/>
  <c r="T6" i="26"/>
  <c r="R6" i="26"/>
  <c r="W5" i="26"/>
  <c r="R5" i="26"/>
  <c r="P5" i="26"/>
  <c r="T5" i="26" s="1"/>
  <c r="W4" i="26"/>
  <c r="T4" i="26"/>
  <c r="R4" i="26"/>
  <c r="Q4" i="26"/>
  <c r="V4" i="26" s="1"/>
  <c r="W3" i="26"/>
  <c r="W23" i="26" s="1"/>
  <c r="T3" i="26"/>
  <c r="R3" i="26"/>
  <c r="Q3" i="26"/>
  <c r="V3" i="26" s="1"/>
  <c r="U23" i="25"/>
  <c r="S23" i="25"/>
  <c r="W21" i="25"/>
  <c r="T21" i="25"/>
  <c r="R21" i="25"/>
  <c r="Q21" i="25"/>
  <c r="V21" i="25" s="1"/>
  <c r="W20" i="25"/>
  <c r="T20" i="25"/>
  <c r="Q20" i="25"/>
  <c r="V20" i="25" s="1"/>
  <c r="W19" i="25"/>
  <c r="T19" i="25"/>
  <c r="Q19" i="25"/>
  <c r="V19" i="25" s="1"/>
  <c r="W18" i="25"/>
  <c r="T18" i="25"/>
  <c r="P18" i="25"/>
  <c r="Q18" i="25" s="1"/>
  <c r="V18" i="25" s="1"/>
  <c r="W16" i="25"/>
  <c r="T16" i="25"/>
  <c r="Q16" i="25"/>
  <c r="V16" i="25" s="1"/>
  <c r="P16" i="25"/>
  <c r="W15" i="25"/>
  <c r="P15" i="25"/>
  <c r="T15" i="25" s="1"/>
  <c r="W14" i="25"/>
  <c r="R14" i="25"/>
  <c r="T14" i="25" s="1"/>
  <c r="Q14" i="25"/>
  <c r="V14" i="25" s="1"/>
  <c r="W13" i="25"/>
  <c r="V13" i="25"/>
  <c r="T13" i="25"/>
  <c r="R13" i="25"/>
  <c r="Q13" i="25"/>
  <c r="W12" i="25"/>
  <c r="T12" i="25"/>
  <c r="Q12" i="25"/>
  <c r="V12" i="25" s="1"/>
  <c r="P12" i="25"/>
  <c r="W11" i="25"/>
  <c r="V11" i="25"/>
  <c r="T11" i="25"/>
  <c r="R11" i="25"/>
  <c r="Q11" i="25"/>
  <c r="W10" i="25"/>
  <c r="R10" i="25"/>
  <c r="T10" i="25" s="1"/>
  <c r="Q10" i="25"/>
  <c r="V10" i="25" s="1"/>
  <c r="W9" i="25"/>
  <c r="V9" i="25"/>
  <c r="T9" i="25"/>
  <c r="R9" i="25"/>
  <c r="Q9" i="25"/>
  <c r="W8" i="25"/>
  <c r="R8" i="25"/>
  <c r="T8" i="25" s="1"/>
  <c r="Q8" i="25"/>
  <c r="V8" i="25" s="1"/>
  <c r="P8" i="25"/>
  <c r="W7" i="25"/>
  <c r="R7" i="25"/>
  <c r="T7" i="25" s="1"/>
  <c r="Q7" i="25"/>
  <c r="V7" i="25" s="1"/>
  <c r="W6" i="25"/>
  <c r="V6" i="25"/>
  <c r="T6" i="25"/>
  <c r="R6" i="25"/>
  <c r="W5" i="25"/>
  <c r="R5" i="25"/>
  <c r="P5" i="25"/>
  <c r="T5" i="25" s="1"/>
  <c r="W4" i="25"/>
  <c r="T4" i="25"/>
  <c r="R4" i="25"/>
  <c r="Q4" i="25"/>
  <c r="V4" i="25" s="1"/>
  <c r="W3" i="25"/>
  <c r="W23" i="25" s="1"/>
  <c r="T3" i="25"/>
  <c r="R3" i="25"/>
  <c r="Q3" i="25"/>
  <c r="V3" i="25" s="1"/>
  <c r="U23" i="24"/>
  <c r="S23" i="24"/>
  <c r="W21" i="24"/>
  <c r="V21" i="24"/>
  <c r="T21" i="24"/>
  <c r="R21" i="24"/>
  <c r="Q21" i="24"/>
  <c r="W20" i="24"/>
  <c r="T20" i="24"/>
  <c r="Q20" i="24"/>
  <c r="V20" i="24" s="1"/>
  <c r="W19" i="24"/>
  <c r="T19" i="24"/>
  <c r="Q19" i="24"/>
  <c r="V19" i="24" s="1"/>
  <c r="W18" i="24"/>
  <c r="T18" i="24"/>
  <c r="P18" i="24"/>
  <c r="Q18" i="24" s="1"/>
  <c r="V18" i="24" s="1"/>
  <c r="W16" i="24"/>
  <c r="T16" i="24"/>
  <c r="Q16" i="24"/>
  <c r="V16" i="24" s="1"/>
  <c r="P16" i="24"/>
  <c r="W15" i="24"/>
  <c r="P15" i="24"/>
  <c r="T15" i="24" s="1"/>
  <c r="W14" i="24"/>
  <c r="R14" i="24"/>
  <c r="T14" i="24" s="1"/>
  <c r="Q14" i="24"/>
  <c r="V14" i="24" s="1"/>
  <c r="W13" i="24"/>
  <c r="V13" i="24"/>
  <c r="T13" i="24"/>
  <c r="R13" i="24"/>
  <c r="Q13" i="24"/>
  <c r="W12" i="24"/>
  <c r="T12" i="24"/>
  <c r="Q12" i="24"/>
  <c r="V12" i="24" s="1"/>
  <c r="P12" i="24"/>
  <c r="W11" i="24"/>
  <c r="V11" i="24"/>
  <c r="T11" i="24"/>
  <c r="R11" i="24"/>
  <c r="Q11" i="24"/>
  <c r="W10" i="24"/>
  <c r="R10" i="24"/>
  <c r="T10" i="24" s="1"/>
  <c r="Q10" i="24"/>
  <c r="V10" i="24" s="1"/>
  <c r="W9" i="24"/>
  <c r="V9" i="24"/>
  <c r="T9" i="24"/>
  <c r="R9" i="24"/>
  <c r="Q9" i="24"/>
  <c r="W8" i="24"/>
  <c r="R8" i="24"/>
  <c r="T8" i="24" s="1"/>
  <c r="Q8" i="24"/>
  <c r="V8" i="24" s="1"/>
  <c r="P8" i="24"/>
  <c r="W7" i="24"/>
  <c r="R7" i="24"/>
  <c r="T7" i="24" s="1"/>
  <c r="Q7" i="24"/>
  <c r="V7" i="24" s="1"/>
  <c r="W6" i="24"/>
  <c r="V6" i="24"/>
  <c r="T6" i="24"/>
  <c r="R6" i="24"/>
  <c r="W5" i="24"/>
  <c r="R5" i="24"/>
  <c r="P5" i="24"/>
  <c r="T5" i="24" s="1"/>
  <c r="W4" i="24"/>
  <c r="V4" i="24"/>
  <c r="T4" i="24"/>
  <c r="R4" i="24"/>
  <c r="Q4" i="24"/>
  <c r="W3" i="24"/>
  <c r="W23" i="24" s="1"/>
  <c r="R3" i="24"/>
  <c r="T3" i="24" s="1"/>
  <c r="Q3" i="24"/>
  <c r="V3" i="24" s="1"/>
  <c r="U23" i="23"/>
  <c r="S23" i="23"/>
  <c r="W21" i="23"/>
  <c r="T21" i="23"/>
  <c r="R21" i="23"/>
  <c r="Q21" i="23"/>
  <c r="V21" i="23" s="1"/>
  <c r="W20" i="23"/>
  <c r="V20" i="23"/>
  <c r="T20" i="23"/>
  <c r="Q20" i="23"/>
  <c r="W19" i="23"/>
  <c r="T19" i="23"/>
  <c r="Q19" i="23"/>
  <c r="V19" i="23" s="1"/>
  <c r="W18" i="23"/>
  <c r="T18" i="23"/>
  <c r="Q18" i="23"/>
  <c r="V18" i="23" s="1"/>
  <c r="W16" i="23"/>
  <c r="Q16" i="23"/>
  <c r="V16" i="23" s="1"/>
  <c r="T16" i="23"/>
  <c r="W15" i="23"/>
  <c r="T15" i="23"/>
  <c r="Q15" i="23"/>
  <c r="V15" i="23" s="1"/>
  <c r="W14" i="23"/>
  <c r="R14" i="23"/>
  <c r="T14" i="23" s="1"/>
  <c r="Q14" i="23"/>
  <c r="V14" i="23" s="1"/>
  <c r="W13" i="23"/>
  <c r="R13" i="23"/>
  <c r="T13" i="23" s="1"/>
  <c r="Q13" i="23"/>
  <c r="V13" i="23" s="1"/>
  <c r="W12" i="23"/>
  <c r="Q12" i="23"/>
  <c r="V12" i="23" s="1"/>
  <c r="T12" i="23"/>
  <c r="W11" i="23"/>
  <c r="V11" i="23"/>
  <c r="R11" i="23"/>
  <c r="T11" i="23" s="1"/>
  <c r="Q11" i="23"/>
  <c r="W10" i="23"/>
  <c r="V10" i="23"/>
  <c r="R10" i="23"/>
  <c r="T10" i="23" s="1"/>
  <c r="Q10" i="23"/>
  <c r="W9" i="23"/>
  <c r="V9" i="23"/>
  <c r="R9" i="23"/>
  <c r="T9" i="23" s="1"/>
  <c r="Q9" i="23"/>
  <c r="W8" i="23"/>
  <c r="R8" i="23"/>
  <c r="Q8" i="23"/>
  <c r="V8" i="23" s="1"/>
  <c r="W7" i="23"/>
  <c r="T7" i="23"/>
  <c r="R7" i="23"/>
  <c r="Q7" i="23"/>
  <c r="V7" i="23" s="1"/>
  <c r="W6" i="23"/>
  <c r="V6" i="23"/>
  <c r="T6" i="23"/>
  <c r="R6" i="23"/>
  <c r="W5" i="23"/>
  <c r="R5" i="23"/>
  <c r="T5" i="23"/>
  <c r="W4" i="23"/>
  <c r="R4" i="23"/>
  <c r="T4" i="23" s="1"/>
  <c r="Q4" i="23"/>
  <c r="V4" i="23" s="1"/>
  <c r="W3" i="23"/>
  <c r="W23" i="23" s="1"/>
  <c r="T3" i="23"/>
  <c r="R3" i="23"/>
  <c r="Q3" i="23"/>
  <c r="V3" i="23" s="1"/>
  <c r="Q15" i="33" l="1"/>
  <c r="V15" i="33" s="1"/>
  <c r="Q23" i="33"/>
  <c r="T23" i="33" s="1"/>
  <c r="Q5" i="33"/>
  <c r="V5" i="33" s="1"/>
  <c r="Q5" i="32"/>
  <c r="V5" i="32" s="1"/>
  <c r="Q15" i="32"/>
  <c r="V15" i="32" s="1"/>
  <c r="Q23" i="32"/>
  <c r="T23" i="32" s="1"/>
  <c r="Q5" i="31"/>
  <c r="V5" i="31" s="1"/>
  <c r="Q23" i="31"/>
  <c r="T23" i="31" s="1"/>
  <c r="Q5" i="30"/>
  <c r="V5" i="30" s="1"/>
  <c r="Q15" i="30"/>
  <c r="V15" i="30" s="1"/>
  <c r="Q15" i="29"/>
  <c r="V15" i="29" s="1"/>
  <c r="Q5" i="29"/>
  <c r="V5" i="29" s="1"/>
  <c r="Q15" i="28"/>
  <c r="V15" i="28" s="1"/>
  <c r="Q23" i="28"/>
  <c r="T23" i="28" s="1"/>
  <c r="Q5" i="28"/>
  <c r="V5" i="28" s="1"/>
  <c r="Q15" i="27"/>
  <c r="V15" i="27" s="1"/>
  <c r="Q23" i="27"/>
  <c r="T23" i="27" s="1"/>
  <c r="Q5" i="27"/>
  <c r="V5" i="27" s="1"/>
  <c r="Q5" i="26"/>
  <c r="V5" i="26" s="1"/>
  <c r="Q5" i="25"/>
  <c r="V5" i="25" s="1"/>
  <c r="Q15" i="25"/>
  <c r="V15" i="25" s="1"/>
  <c r="Q5" i="24"/>
  <c r="V5" i="24" s="1"/>
  <c r="Q15" i="24"/>
  <c r="V15" i="24" s="1"/>
  <c r="Q23" i="24"/>
  <c r="T23" i="24" s="1"/>
  <c r="Q5" i="23"/>
  <c r="V5" i="23" s="1"/>
  <c r="T8" i="23"/>
  <c r="Q23" i="30" l="1"/>
  <c r="T23" i="30" s="1"/>
  <c r="Q23" i="29"/>
  <c r="T23" i="29" s="1"/>
  <c r="Q23" i="26"/>
  <c r="T23" i="26" s="1"/>
  <c r="Q23" i="25"/>
  <c r="T23" i="25" s="1"/>
  <c r="Q23" i="23"/>
  <c r="T23" i="23" s="1"/>
  <c r="P19" i="16" l="1"/>
  <c r="C12" i="21" l="1"/>
  <c r="C11" i="21"/>
  <c r="C10" i="21"/>
  <c r="C9" i="21"/>
  <c r="C8" i="21"/>
  <c r="E9" i="16" l="1"/>
  <c r="C4" i="22" l="1"/>
  <c r="D4" i="22" s="1"/>
  <c r="E4" i="22" s="1"/>
  <c r="F4" i="22" s="1"/>
  <c r="G4" i="22" s="1"/>
  <c r="H4" i="22" s="1"/>
  <c r="I4" i="22" s="1"/>
  <c r="J4" i="22" s="1"/>
  <c r="P4" i="16"/>
  <c r="P16" i="17" l="1"/>
  <c r="P15" i="17"/>
  <c r="P5" i="17"/>
  <c r="U27" i="15" l="1"/>
  <c r="W21" i="15"/>
  <c r="T21" i="15"/>
  <c r="Q21" i="15"/>
  <c r="V21" i="15" s="1"/>
  <c r="W19" i="22" l="1"/>
  <c r="T19" i="22"/>
  <c r="Q19" i="22"/>
  <c r="V19" i="22" s="1"/>
  <c r="W19" i="19"/>
  <c r="T19" i="19"/>
  <c r="Q19" i="19"/>
  <c r="V19" i="19" s="1"/>
  <c r="W19" i="18"/>
  <c r="T19" i="18"/>
  <c r="Q19" i="18"/>
  <c r="V19" i="18" s="1"/>
  <c r="W19" i="17"/>
  <c r="T19" i="17"/>
  <c r="Q19" i="17"/>
  <c r="V19" i="17" s="1"/>
  <c r="P15" i="16" l="1"/>
  <c r="P5" i="16"/>
  <c r="P15" i="15" l="1"/>
  <c r="U23" i="22" l="1"/>
  <c r="S23" i="22"/>
  <c r="W21" i="22"/>
  <c r="T21" i="22"/>
  <c r="R21" i="22"/>
  <c r="Q21" i="22"/>
  <c r="V21" i="22" s="1"/>
  <c r="W20" i="22"/>
  <c r="T20" i="22"/>
  <c r="Q20" i="22"/>
  <c r="V20" i="22" s="1"/>
  <c r="W18" i="22"/>
  <c r="T18" i="22"/>
  <c r="Q18" i="22"/>
  <c r="V18" i="22" s="1"/>
  <c r="W16" i="22"/>
  <c r="T16" i="22"/>
  <c r="Q16" i="22"/>
  <c r="V16" i="22" s="1"/>
  <c r="W15" i="22"/>
  <c r="T15" i="22"/>
  <c r="Q15" i="22"/>
  <c r="V15" i="22" s="1"/>
  <c r="W14" i="22"/>
  <c r="T14" i="22"/>
  <c r="R14" i="22"/>
  <c r="Q14" i="22"/>
  <c r="V14" i="22" s="1"/>
  <c r="W13" i="22"/>
  <c r="T13" i="22"/>
  <c r="R13" i="22"/>
  <c r="Q13" i="22"/>
  <c r="V13" i="22" s="1"/>
  <c r="W12" i="22"/>
  <c r="T12" i="22"/>
  <c r="Q12" i="22"/>
  <c r="V12" i="22" s="1"/>
  <c r="W11" i="22"/>
  <c r="R11" i="22"/>
  <c r="T11" i="22" s="1"/>
  <c r="Q11" i="22"/>
  <c r="V11" i="22" s="1"/>
  <c r="W10" i="22"/>
  <c r="R10" i="22"/>
  <c r="T10" i="22" s="1"/>
  <c r="Q10" i="22"/>
  <c r="V10" i="22" s="1"/>
  <c r="W9" i="22"/>
  <c r="R9" i="22"/>
  <c r="T9" i="22" s="1"/>
  <c r="Q9" i="22"/>
  <c r="V9" i="22" s="1"/>
  <c r="W8" i="22"/>
  <c r="R8" i="22"/>
  <c r="T8" i="22" s="1"/>
  <c r="Q8" i="22"/>
  <c r="V8" i="22" s="1"/>
  <c r="W7" i="22"/>
  <c r="R7" i="22"/>
  <c r="T7" i="22" s="1"/>
  <c r="Q7" i="22"/>
  <c r="V7" i="22" s="1"/>
  <c r="W6" i="22"/>
  <c r="V6" i="22"/>
  <c r="R6" i="22"/>
  <c r="T6" i="22" s="1"/>
  <c r="W5" i="22"/>
  <c r="R5" i="22"/>
  <c r="T5" i="22" s="1"/>
  <c r="Q5" i="22"/>
  <c r="V5" i="22" s="1"/>
  <c r="W4" i="22"/>
  <c r="R4" i="22"/>
  <c r="T4" i="22" s="1"/>
  <c r="Q4" i="22"/>
  <c r="V4" i="22" s="1"/>
  <c r="W3" i="22"/>
  <c r="R3" i="22"/>
  <c r="T3" i="22" s="1"/>
  <c r="Q3" i="22"/>
  <c r="V3" i="22" s="1"/>
  <c r="W23" i="22" l="1"/>
  <c r="Q23" i="22"/>
  <c r="T23" i="22" s="1"/>
  <c r="W5" i="19" l="1"/>
  <c r="R5" i="19"/>
  <c r="Q5" i="19"/>
  <c r="V5" i="19" s="1"/>
  <c r="W5" i="18"/>
  <c r="R5" i="18"/>
  <c r="Q5" i="18"/>
  <c r="V5" i="18" s="1"/>
  <c r="W5" i="17"/>
  <c r="R5" i="17"/>
  <c r="T5" i="17" s="1"/>
  <c r="Q5" i="17"/>
  <c r="V5" i="17" s="1"/>
  <c r="K5" i="16"/>
  <c r="N5" i="16" s="1"/>
  <c r="E5" i="17" l="1"/>
  <c r="H5" i="17" s="1"/>
  <c r="K5" i="17" s="1"/>
  <c r="N5" i="17" s="1"/>
  <c r="E5" i="18" s="1"/>
  <c r="H5" i="18" s="1"/>
  <c r="K5" i="18" s="1"/>
  <c r="N5" i="18" s="1"/>
  <c r="E5" i="19" s="1"/>
  <c r="H5" i="19" s="1"/>
  <c r="K5" i="19" s="1"/>
  <c r="N5" i="19" s="1"/>
  <c r="E5" i="22" s="1"/>
  <c r="H5" i="22" s="1"/>
  <c r="K5" i="22" s="1"/>
  <c r="N5" i="22" s="1"/>
  <c r="T5" i="19"/>
  <c r="T5" i="18"/>
  <c r="W5" i="16"/>
  <c r="R5" i="16"/>
  <c r="Q5" i="16"/>
  <c r="B5" i="16"/>
  <c r="W5" i="15"/>
  <c r="R5" i="15"/>
  <c r="P5" i="15"/>
  <c r="Q5" i="15" s="1"/>
  <c r="V5" i="15" s="1"/>
  <c r="B5" i="22" l="1"/>
  <c r="E5" i="23"/>
  <c r="T5" i="15"/>
  <c r="B5" i="18"/>
  <c r="B5" i="19"/>
  <c r="B5" i="17"/>
  <c r="V5" i="16"/>
  <c r="T5" i="16"/>
  <c r="B5" i="15"/>
  <c r="H5" i="13"/>
  <c r="I5" i="13" s="1"/>
  <c r="H5" i="23" l="1"/>
  <c r="K5" i="23" s="1"/>
  <c r="N5" i="23" s="1"/>
  <c r="E5" i="24" s="1"/>
  <c r="H9" i="13"/>
  <c r="I9" i="13" s="1"/>
  <c r="W20" i="19"/>
  <c r="T20" i="19"/>
  <c r="Q20" i="19"/>
  <c r="V20" i="19" s="1"/>
  <c r="W20" i="18"/>
  <c r="T20" i="18"/>
  <c r="Q20" i="18"/>
  <c r="V20" i="18" s="1"/>
  <c r="N22" i="15"/>
  <c r="K20" i="16" s="1"/>
  <c r="N20" i="16" s="1"/>
  <c r="E20" i="17" s="1"/>
  <c r="W20" i="17"/>
  <c r="T20" i="17"/>
  <c r="Q20" i="17"/>
  <c r="V20" i="17" s="1"/>
  <c r="W20" i="16"/>
  <c r="T20" i="16"/>
  <c r="Q20" i="16"/>
  <c r="V20" i="16" s="1"/>
  <c r="W22" i="15"/>
  <c r="T22" i="15"/>
  <c r="Q22" i="15"/>
  <c r="V22" i="15" s="1"/>
  <c r="B5" i="23" l="1"/>
  <c r="H5" i="24"/>
  <c r="K5" i="24" s="1"/>
  <c r="N5" i="24" s="1"/>
  <c r="E5" i="25" s="1"/>
  <c r="B5" i="24"/>
  <c r="H20" i="17"/>
  <c r="K20" i="17" s="1"/>
  <c r="N20" i="17" s="1"/>
  <c r="E20" i="18" s="1"/>
  <c r="H20" i="18" s="1"/>
  <c r="K20" i="18" s="1"/>
  <c r="N20" i="18" s="1"/>
  <c r="E20" i="19" s="1"/>
  <c r="H20" i="19" s="1"/>
  <c r="K20" i="19" s="1"/>
  <c r="N20" i="19" s="1"/>
  <c r="E20" i="22" s="1"/>
  <c r="H20" i="22" s="1"/>
  <c r="K20" i="22" s="1"/>
  <c r="N20" i="22" s="1"/>
  <c r="B22" i="15"/>
  <c r="B20" i="16"/>
  <c r="B20" i="22" l="1"/>
  <c r="E20" i="23"/>
  <c r="H5" i="25"/>
  <c r="K5" i="25" s="1"/>
  <c r="N5" i="25" s="1"/>
  <c r="E5" i="26" s="1"/>
  <c r="K4" i="22"/>
  <c r="L4" i="22" s="1"/>
  <c r="M4" i="22" s="1"/>
  <c r="N4" i="22" s="1"/>
  <c r="C4" i="23" s="1"/>
  <c r="D4" i="23" s="1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C4" i="24" s="1"/>
  <c r="D4" i="24" s="1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C4" i="25" s="1"/>
  <c r="D4" i="25" s="1"/>
  <c r="E4" i="25" s="1"/>
  <c r="F4" i="25" s="1"/>
  <c r="G4" i="25" s="1"/>
  <c r="H4" i="25" s="1"/>
  <c r="I4" i="25" s="1"/>
  <c r="J4" i="25" s="1"/>
  <c r="K4" i="25" s="1"/>
  <c r="L4" i="25" s="1"/>
  <c r="M4" i="25" s="1"/>
  <c r="N4" i="25" s="1"/>
  <c r="C4" i="26" s="1"/>
  <c r="D4" i="26" s="1"/>
  <c r="E4" i="26" s="1"/>
  <c r="F4" i="26" s="1"/>
  <c r="G4" i="26" s="1"/>
  <c r="H4" i="26" s="1"/>
  <c r="I4" i="26" s="1"/>
  <c r="J4" i="26" s="1"/>
  <c r="K4" i="26" s="1"/>
  <c r="L4" i="26" s="1"/>
  <c r="M4" i="26" s="1"/>
  <c r="N4" i="26" s="1"/>
  <c r="C4" i="27" s="1"/>
  <c r="D4" i="27" s="1"/>
  <c r="E4" i="27" s="1"/>
  <c r="F4" i="27" s="1"/>
  <c r="G4" i="27" s="1"/>
  <c r="H4" i="27" s="1"/>
  <c r="I4" i="27" s="1"/>
  <c r="J4" i="27" s="1"/>
  <c r="K4" i="27" s="1"/>
  <c r="L4" i="27" s="1"/>
  <c r="M4" i="27" s="1"/>
  <c r="N4" i="27" s="1"/>
  <c r="C4" i="28" s="1"/>
  <c r="D4" i="28" s="1"/>
  <c r="E4" i="28" s="1"/>
  <c r="F4" i="28" s="1"/>
  <c r="G4" i="28" s="1"/>
  <c r="H4" i="28" s="1"/>
  <c r="I4" i="28" s="1"/>
  <c r="J4" i="28" s="1"/>
  <c r="K4" i="28" s="1"/>
  <c r="L4" i="28" s="1"/>
  <c r="M4" i="28" s="1"/>
  <c r="N4" i="28" s="1"/>
  <c r="C4" i="29" s="1"/>
  <c r="D4" i="29" s="1"/>
  <c r="E4" i="29" s="1"/>
  <c r="F4" i="29" s="1"/>
  <c r="G4" i="29" s="1"/>
  <c r="H4" i="29" s="1"/>
  <c r="I4" i="29" s="1"/>
  <c r="J4" i="29" s="1"/>
  <c r="K4" i="29" s="1"/>
  <c r="L4" i="29" s="1"/>
  <c r="M4" i="29" s="1"/>
  <c r="N4" i="29" s="1"/>
  <c r="C4" i="30" s="1"/>
  <c r="D4" i="30" s="1"/>
  <c r="E4" i="30" s="1"/>
  <c r="F4" i="30" s="1"/>
  <c r="G4" i="30" s="1"/>
  <c r="H4" i="30" s="1"/>
  <c r="I4" i="30" s="1"/>
  <c r="J4" i="30" s="1"/>
  <c r="K4" i="30" s="1"/>
  <c r="L4" i="30" s="1"/>
  <c r="M4" i="30" s="1"/>
  <c r="N4" i="30" s="1"/>
  <c r="C4" i="31" s="1"/>
  <c r="D4" i="31" s="1"/>
  <c r="E4" i="31" s="1"/>
  <c r="F4" i="31" s="1"/>
  <c r="G4" i="31" s="1"/>
  <c r="H4" i="31" s="1"/>
  <c r="I4" i="31" s="1"/>
  <c r="J4" i="31" s="1"/>
  <c r="K4" i="31" s="1"/>
  <c r="L4" i="31" s="1"/>
  <c r="M4" i="31" s="1"/>
  <c r="N4" i="31" s="1"/>
  <c r="C4" i="32" s="1"/>
  <c r="D4" i="32" s="1"/>
  <c r="E4" i="32" s="1"/>
  <c r="F4" i="32" s="1"/>
  <c r="G4" i="32" s="1"/>
  <c r="H4" i="32" s="1"/>
  <c r="I4" i="32" s="1"/>
  <c r="J4" i="32" s="1"/>
  <c r="K4" i="32" s="1"/>
  <c r="L4" i="32" s="1"/>
  <c r="M4" i="32" s="1"/>
  <c r="N4" i="32" s="1"/>
  <c r="C4" i="33" s="1"/>
  <c r="D4" i="33" s="1"/>
  <c r="E4" i="33" s="1"/>
  <c r="F4" i="33" s="1"/>
  <c r="G4" i="33" s="1"/>
  <c r="H4" i="33" s="1"/>
  <c r="I4" i="33" s="1"/>
  <c r="J4" i="33" s="1"/>
  <c r="K4" i="33" s="1"/>
  <c r="L4" i="33" s="1"/>
  <c r="M4" i="33" s="1"/>
  <c r="N4" i="33" s="1"/>
  <c r="B20" i="17"/>
  <c r="B20" i="19"/>
  <c r="B20" i="18"/>
  <c r="P16" i="16"/>
  <c r="W8" i="18"/>
  <c r="R8" i="18"/>
  <c r="T8" i="18" s="1"/>
  <c r="W8" i="17"/>
  <c r="R8" i="17"/>
  <c r="T8" i="17" s="1"/>
  <c r="B5" i="25" l="1"/>
  <c r="H5" i="26"/>
  <c r="K5" i="26" s="1"/>
  <c r="N5" i="26" s="1"/>
  <c r="E5" i="27" s="1"/>
  <c r="H20" i="23"/>
  <c r="K20" i="23" s="1"/>
  <c r="N20" i="23" s="1"/>
  <c r="E20" i="24" s="1"/>
  <c r="B4" i="22"/>
  <c r="H14" i="13"/>
  <c r="I14" i="13" s="1"/>
  <c r="B5" i="26" l="1"/>
  <c r="B20" i="23"/>
  <c r="H20" i="24"/>
  <c r="K20" i="24" s="1"/>
  <c r="N20" i="24" s="1"/>
  <c r="E20" i="25" s="1"/>
  <c r="B20" i="24"/>
  <c r="H5" i="27"/>
  <c r="K5" i="27" s="1"/>
  <c r="N5" i="27" s="1"/>
  <c r="E5" i="28" s="1"/>
  <c r="Q8" i="16"/>
  <c r="W8" i="19"/>
  <c r="R8" i="19"/>
  <c r="T8" i="19" s="1"/>
  <c r="B5" i="27" l="1"/>
  <c r="H5" i="28"/>
  <c r="K5" i="28" s="1"/>
  <c r="N5" i="28" s="1"/>
  <c r="E5" i="29" s="1"/>
  <c r="B5" i="28"/>
  <c r="H20" i="25"/>
  <c r="K20" i="25" s="1"/>
  <c r="N20" i="25" s="1"/>
  <c r="E20" i="26" s="1"/>
  <c r="Q8" i="19"/>
  <c r="V8" i="19" s="1"/>
  <c r="Q8" i="18"/>
  <c r="V8" i="18" s="1"/>
  <c r="Q8" i="17"/>
  <c r="V8" i="17" s="1"/>
  <c r="W8" i="16"/>
  <c r="R8" i="16"/>
  <c r="T8" i="16" s="1"/>
  <c r="W9" i="15"/>
  <c r="R9" i="15"/>
  <c r="T9" i="15" s="1"/>
  <c r="Q9" i="15"/>
  <c r="V9" i="15" s="1"/>
  <c r="B20" i="25" l="1"/>
  <c r="H20" i="26"/>
  <c r="K20" i="26" s="1"/>
  <c r="N20" i="26" s="1"/>
  <c r="E20" i="27" s="1"/>
  <c r="H5" i="29"/>
  <c r="K5" i="29" s="1"/>
  <c r="N5" i="29" s="1"/>
  <c r="E5" i="30" s="1"/>
  <c r="B5" i="29"/>
  <c r="V8" i="16"/>
  <c r="B20" i="26" l="1"/>
  <c r="H5" i="30"/>
  <c r="K5" i="30" s="1"/>
  <c r="N5" i="30" s="1"/>
  <c r="E5" i="31" s="1"/>
  <c r="H20" i="27"/>
  <c r="K20" i="27" s="1"/>
  <c r="N20" i="27" s="1"/>
  <c r="E20" i="28" s="1"/>
  <c r="B9" i="15"/>
  <c r="K21" i="16"/>
  <c r="N21" i="16" s="1"/>
  <c r="E21" i="17" s="1"/>
  <c r="H21" i="17" s="1"/>
  <c r="K21" i="17" s="1"/>
  <c r="N21" i="17" s="1"/>
  <c r="E21" i="18" s="1"/>
  <c r="H21" i="18" s="1"/>
  <c r="K19" i="16"/>
  <c r="N19" i="16" s="1"/>
  <c r="E19" i="17" s="1"/>
  <c r="M17" i="16"/>
  <c r="D17" i="17" s="1"/>
  <c r="G17" i="17" s="1"/>
  <c r="L16" i="16"/>
  <c r="C16" i="17" s="1"/>
  <c r="F16" i="17" s="1"/>
  <c r="I16" i="17" s="1"/>
  <c r="L16" i="17" s="1"/>
  <c r="C16" i="18" s="1"/>
  <c r="K15" i="16"/>
  <c r="N15" i="16" s="1"/>
  <c r="E15" i="17" s="1"/>
  <c r="H15" i="17" s="1"/>
  <c r="K15" i="17" s="1"/>
  <c r="N15" i="17" s="1"/>
  <c r="E15" i="18" s="1"/>
  <c r="H15" i="18" s="1"/>
  <c r="J14" i="16"/>
  <c r="K14" i="16" s="1"/>
  <c r="M14" i="16" s="1"/>
  <c r="N14" i="16" s="1"/>
  <c r="J13" i="16"/>
  <c r="M13" i="16" s="1"/>
  <c r="D13" i="17" s="1"/>
  <c r="G13" i="17" s="1"/>
  <c r="J13" i="17" s="1"/>
  <c r="M13" i="17" s="1"/>
  <c r="K12" i="16"/>
  <c r="N12" i="16" s="1"/>
  <c r="E12" i="17" s="1"/>
  <c r="L10" i="16"/>
  <c r="C10" i="17" s="1"/>
  <c r="K9" i="16"/>
  <c r="N9" i="16" s="1"/>
  <c r="K7" i="15"/>
  <c r="K7" i="16" s="1"/>
  <c r="N7" i="16" s="1"/>
  <c r="E7" i="17" s="1"/>
  <c r="H7" i="17" s="1"/>
  <c r="K7" i="17" s="1"/>
  <c r="N7" i="17" s="1"/>
  <c r="E7" i="18" s="1"/>
  <c r="C6" i="17"/>
  <c r="U23" i="19"/>
  <c r="S23" i="19"/>
  <c r="W21" i="19"/>
  <c r="R21" i="19"/>
  <c r="T21" i="19" s="1"/>
  <c r="Q21" i="19"/>
  <c r="V21" i="19" s="1"/>
  <c r="W18" i="19"/>
  <c r="T18" i="19"/>
  <c r="Q18" i="19"/>
  <c r="V18" i="19" s="1"/>
  <c r="W16" i="19"/>
  <c r="T16" i="19"/>
  <c r="Q16" i="19"/>
  <c r="V16" i="19" s="1"/>
  <c r="W15" i="19"/>
  <c r="T15" i="19"/>
  <c r="Q15" i="19"/>
  <c r="V15" i="19" s="1"/>
  <c r="W14" i="19"/>
  <c r="R14" i="19"/>
  <c r="T14" i="19" s="1"/>
  <c r="Q14" i="19"/>
  <c r="V14" i="19" s="1"/>
  <c r="W13" i="19"/>
  <c r="R13" i="19"/>
  <c r="T13" i="19" s="1"/>
  <c r="Q13" i="19"/>
  <c r="V13" i="19" s="1"/>
  <c r="W12" i="19"/>
  <c r="T12" i="19"/>
  <c r="Q12" i="19"/>
  <c r="V12" i="19" s="1"/>
  <c r="W11" i="19"/>
  <c r="R11" i="19"/>
  <c r="T11" i="19" s="1"/>
  <c r="Q11" i="19"/>
  <c r="V11" i="19" s="1"/>
  <c r="W10" i="19"/>
  <c r="R10" i="19"/>
  <c r="T10" i="19" s="1"/>
  <c r="Q10" i="19"/>
  <c r="V10" i="19" s="1"/>
  <c r="W9" i="19"/>
  <c r="R9" i="19"/>
  <c r="T9" i="19" s="1"/>
  <c r="Q9" i="19"/>
  <c r="V9" i="19" s="1"/>
  <c r="W7" i="19"/>
  <c r="R7" i="19"/>
  <c r="T7" i="19" s="1"/>
  <c r="Q7" i="19"/>
  <c r="V7" i="19" s="1"/>
  <c r="W6" i="19"/>
  <c r="V6" i="19"/>
  <c r="R6" i="19"/>
  <c r="T6" i="19" s="1"/>
  <c r="W4" i="19"/>
  <c r="R4" i="19"/>
  <c r="T4" i="19" s="1"/>
  <c r="Q4" i="19"/>
  <c r="V4" i="19" s="1"/>
  <c r="W3" i="19"/>
  <c r="R3" i="19"/>
  <c r="T3" i="19" s="1"/>
  <c r="Q3" i="19"/>
  <c r="V3" i="19" s="1"/>
  <c r="U23" i="18"/>
  <c r="S23" i="18"/>
  <c r="W21" i="18"/>
  <c r="R21" i="18"/>
  <c r="T21" i="18" s="1"/>
  <c r="Q21" i="18"/>
  <c r="V21" i="18" s="1"/>
  <c r="W18" i="18"/>
  <c r="T18" i="18"/>
  <c r="Q18" i="18"/>
  <c r="V18" i="18" s="1"/>
  <c r="W16" i="18"/>
  <c r="T16" i="18"/>
  <c r="Q16" i="18"/>
  <c r="V16" i="18" s="1"/>
  <c r="W15" i="18"/>
  <c r="T15" i="18"/>
  <c r="Q15" i="18"/>
  <c r="V15" i="18" s="1"/>
  <c r="W14" i="18"/>
  <c r="R14" i="18"/>
  <c r="T14" i="18" s="1"/>
  <c r="Q14" i="18"/>
  <c r="V14" i="18" s="1"/>
  <c r="W13" i="18"/>
  <c r="R13" i="18"/>
  <c r="T13" i="18" s="1"/>
  <c r="Q13" i="18"/>
  <c r="V13" i="18" s="1"/>
  <c r="W12" i="18"/>
  <c r="T12" i="18"/>
  <c r="Q12" i="18"/>
  <c r="V12" i="18" s="1"/>
  <c r="W11" i="18"/>
  <c r="R11" i="18"/>
  <c r="T11" i="18" s="1"/>
  <c r="Q11" i="18"/>
  <c r="V11" i="18" s="1"/>
  <c r="W10" i="18"/>
  <c r="R10" i="18"/>
  <c r="T10" i="18" s="1"/>
  <c r="Q10" i="18"/>
  <c r="V10" i="18" s="1"/>
  <c r="W9" i="18"/>
  <c r="R9" i="18"/>
  <c r="T9" i="18" s="1"/>
  <c r="Q9" i="18"/>
  <c r="V9" i="18" s="1"/>
  <c r="W7" i="18"/>
  <c r="R7" i="18"/>
  <c r="T7" i="18" s="1"/>
  <c r="Q7" i="18"/>
  <c r="V7" i="18" s="1"/>
  <c r="W6" i="18"/>
  <c r="V6" i="18"/>
  <c r="R6" i="18"/>
  <c r="T6" i="18" s="1"/>
  <c r="W4" i="18"/>
  <c r="R4" i="18"/>
  <c r="T4" i="18" s="1"/>
  <c r="Q4" i="18"/>
  <c r="V4" i="18" s="1"/>
  <c r="W3" i="18"/>
  <c r="R3" i="18"/>
  <c r="T3" i="18" s="1"/>
  <c r="Q3" i="18"/>
  <c r="V3" i="18" s="1"/>
  <c r="U23" i="17"/>
  <c r="U26" i="17" s="1"/>
  <c r="S23" i="17"/>
  <c r="W21" i="17"/>
  <c r="R21" i="17"/>
  <c r="T21" i="17" s="1"/>
  <c r="Q21" i="17"/>
  <c r="V21" i="17" s="1"/>
  <c r="W18" i="17"/>
  <c r="T18" i="17"/>
  <c r="Q18" i="17"/>
  <c r="V18" i="17" s="1"/>
  <c r="W16" i="17"/>
  <c r="T16" i="17"/>
  <c r="Q16" i="17"/>
  <c r="V16" i="17" s="1"/>
  <c r="W15" i="17"/>
  <c r="T15" i="17"/>
  <c r="Q15" i="17"/>
  <c r="V15" i="17" s="1"/>
  <c r="W14" i="17"/>
  <c r="R14" i="17"/>
  <c r="T14" i="17" s="1"/>
  <c r="Q14" i="17"/>
  <c r="V14" i="17" s="1"/>
  <c r="W13" i="17"/>
  <c r="R13" i="17"/>
  <c r="T13" i="17" s="1"/>
  <c r="Q13" i="17"/>
  <c r="V13" i="17" s="1"/>
  <c r="W12" i="17"/>
  <c r="T12" i="17"/>
  <c r="Q12" i="17"/>
  <c r="V12" i="17" s="1"/>
  <c r="W11" i="17"/>
  <c r="R11" i="17"/>
  <c r="T11" i="17" s="1"/>
  <c r="Q11" i="17"/>
  <c r="V11" i="17" s="1"/>
  <c r="W10" i="17"/>
  <c r="R10" i="17"/>
  <c r="T10" i="17" s="1"/>
  <c r="Q10" i="17"/>
  <c r="V10" i="17" s="1"/>
  <c r="W9" i="17"/>
  <c r="R9" i="17"/>
  <c r="T9" i="17" s="1"/>
  <c r="Q9" i="17"/>
  <c r="V9" i="17" s="1"/>
  <c r="W7" i="17"/>
  <c r="R7" i="17"/>
  <c r="T7" i="17" s="1"/>
  <c r="Q7" i="17"/>
  <c r="V7" i="17" s="1"/>
  <c r="W6" i="17"/>
  <c r="V6" i="17"/>
  <c r="R6" i="17"/>
  <c r="T6" i="17" s="1"/>
  <c r="W4" i="17"/>
  <c r="R4" i="17"/>
  <c r="T4" i="17" s="1"/>
  <c r="Q4" i="17"/>
  <c r="V4" i="17" s="1"/>
  <c r="W3" i="17"/>
  <c r="R3" i="17"/>
  <c r="T3" i="17" s="1"/>
  <c r="Q3" i="17"/>
  <c r="V3" i="17" s="1"/>
  <c r="F6" i="17" l="1"/>
  <c r="I6" i="17" s="1"/>
  <c r="L6" i="17" s="1"/>
  <c r="C6" i="18" s="1"/>
  <c r="F6" i="18" s="1"/>
  <c r="B5" i="30"/>
  <c r="K9" i="17"/>
  <c r="N9" i="17" s="1"/>
  <c r="E9" i="18" s="1"/>
  <c r="E9" i="17"/>
  <c r="B20" i="27"/>
  <c r="H20" i="28"/>
  <c r="K20" i="28" s="1"/>
  <c r="N20" i="28" s="1"/>
  <c r="E20" i="29" s="1"/>
  <c r="H5" i="31"/>
  <c r="K5" i="31" s="1"/>
  <c r="N5" i="31" s="1"/>
  <c r="E5" i="32" s="1"/>
  <c r="B5" i="31"/>
  <c r="C14" i="17"/>
  <c r="D14" i="17" s="1"/>
  <c r="H7" i="18"/>
  <c r="K7" i="18" s="1"/>
  <c r="N7" i="18" s="1"/>
  <c r="E7" i="19" s="1"/>
  <c r="J11" i="16"/>
  <c r="M11" i="16" s="1"/>
  <c r="D11" i="17" s="1"/>
  <c r="L8" i="16"/>
  <c r="C8" i="17" s="1"/>
  <c r="J3" i="16"/>
  <c r="M3" i="16" s="1"/>
  <c r="D3" i="17" s="1"/>
  <c r="G3" i="17" s="1"/>
  <c r="J3" i="17" s="1"/>
  <c r="W23" i="19"/>
  <c r="W23" i="18"/>
  <c r="W23" i="17"/>
  <c r="K15" i="18"/>
  <c r="N15" i="18" s="1"/>
  <c r="E15" i="19" s="1"/>
  <c r="H15" i="19" s="1"/>
  <c r="K15" i="19" s="1"/>
  <c r="N15" i="19" s="1"/>
  <c r="E15" i="22" s="1"/>
  <c r="F16" i="18"/>
  <c r="I16" i="18" s="1"/>
  <c r="L16" i="18" s="1"/>
  <c r="C16" i="19" s="1"/>
  <c r="H12" i="17"/>
  <c r="K12" i="17" s="1"/>
  <c r="N12" i="17" s="1"/>
  <c r="E12" i="18" s="1"/>
  <c r="B13" i="17"/>
  <c r="D13" i="18"/>
  <c r="G13" i="18" s="1"/>
  <c r="J13" i="18" s="1"/>
  <c r="M13" i="18" s="1"/>
  <c r="J17" i="17"/>
  <c r="M17" i="17" s="1"/>
  <c r="D17" i="18" s="1"/>
  <c r="G17" i="18" s="1"/>
  <c r="J17" i="18" s="1"/>
  <c r="M17" i="18" s="1"/>
  <c r="H9" i="18"/>
  <c r="K9" i="18" s="1"/>
  <c r="N9" i="18" s="1"/>
  <c r="E9" i="19" s="1"/>
  <c r="H9" i="19" s="1"/>
  <c r="K9" i="19" s="1"/>
  <c r="N9" i="19" s="1"/>
  <c r="E9" i="22" s="1"/>
  <c r="F10" i="17"/>
  <c r="I10" i="17" s="1"/>
  <c r="L10" i="17" s="1"/>
  <c r="C10" i="18" s="1"/>
  <c r="H19" i="17"/>
  <c r="K19" i="17" s="1"/>
  <c r="N19" i="17" s="1"/>
  <c r="K21" i="18"/>
  <c r="N21" i="18" s="1"/>
  <c r="E21" i="19" s="1"/>
  <c r="H21" i="19" s="1"/>
  <c r="K21" i="19" s="1"/>
  <c r="N21" i="19" s="1"/>
  <c r="E21" i="22" s="1"/>
  <c r="B21" i="17"/>
  <c r="B16" i="17"/>
  <c r="B15" i="17"/>
  <c r="B9" i="17"/>
  <c r="B7" i="17"/>
  <c r="Q23" i="19"/>
  <c r="Q23" i="18"/>
  <c r="Q23" i="17"/>
  <c r="U23" i="16"/>
  <c r="U26" i="16" s="1"/>
  <c r="S23" i="16"/>
  <c r="E23" i="16"/>
  <c r="H23" i="16"/>
  <c r="K23" i="16"/>
  <c r="N23" i="16"/>
  <c r="C23" i="16"/>
  <c r="W3" i="16"/>
  <c r="R3" i="16"/>
  <c r="T3" i="16" s="1"/>
  <c r="Q3" i="16"/>
  <c r="H5" i="32" l="1"/>
  <c r="K5" i="32" s="1"/>
  <c r="N5" i="32" s="1"/>
  <c r="E5" i="33" s="1"/>
  <c r="B20" i="28"/>
  <c r="H20" i="29"/>
  <c r="K20" i="29" s="1"/>
  <c r="N20" i="29" s="1"/>
  <c r="E20" i="30" s="1"/>
  <c r="E19" i="18"/>
  <c r="H19" i="18" s="1"/>
  <c r="E14" i="17"/>
  <c r="F14" i="17" s="1"/>
  <c r="G14" i="17" s="1"/>
  <c r="H14" i="17" s="1"/>
  <c r="I14" i="17" s="1"/>
  <c r="J14" i="17" s="1"/>
  <c r="K14" i="17" s="1"/>
  <c r="L14" i="17" s="1"/>
  <c r="M14" i="17" s="1"/>
  <c r="N14" i="17" s="1"/>
  <c r="H9" i="22"/>
  <c r="K9" i="22" s="1"/>
  <c r="N9" i="22" s="1"/>
  <c r="E9" i="23" s="1"/>
  <c r="H21" i="22"/>
  <c r="K21" i="22" s="1"/>
  <c r="N21" i="22" s="1"/>
  <c r="E21" i="23" s="1"/>
  <c r="N25" i="17"/>
  <c r="H13" i="4"/>
  <c r="K25" i="17"/>
  <c r="H10" i="4"/>
  <c r="H15" i="22"/>
  <c r="K15" i="22" s="1"/>
  <c r="N15" i="22" s="1"/>
  <c r="E15" i="23" s="1"/>
  <c r="B7" i="18"/>
  <c r="B8" i="16"/>
  <c r="I6" i="18"/>
  <c r="B9" i="18"/>
  <c r="H7" i="19"/>
  <c r="K7" i="19" s="1"/>
  <c r="N7" i="19" s="1"/>
  <c r="E7" i="22" s="1"/>
  <c r="G11" i="17"/>
  <c r="J11" i="17" s="1"/>
  <c r="M11" i="17" s="1"/>
  <c r="D11" i="18" s="1"/>
  <c r="G11" i="18" s="1"/>
  <c r="J11" i="18" s="1"/>
  <c r="M11" i="18" s="1"/>
  <c r="D11" i="19" s="1"/>
  <c r="G11" i="19" s="1"/>
  <c r="J11" i="19" s="1"/>
  <c r="M11" i="19" s="1"/>
  <c r="D11" i="22" s="1"/>
  <c r="D23" i="16"/>
  <c r="G23" i="16"/>
  <c r="F8" i="17"/>
  <c r="I8" i="17" s="1"/>
  <c r="L8" i="17" s="1"/>
  <c r="C8" i="18" s="1"/>
  <c r="B3" i="16"/>
  <c r="J23" i="16"/>
  <c r="M23" i="16"/>
  <c r="B9" i="19"/>
  <c r="L18" i="16"/>
  <c r="I23" i="16"/>
  <c r="F23" i="16"/>
  <c r="B15" i="19"/>
  <c r="T23" i="19"/>
  <c r="T23" i="18"/>
  <c r="B16" i="18"/>
  <c r="T23" i="17"/>
  <c r="B19" i="17"/>
  <c r="B10" i="17"/>
  <c r="B13" i="18"/>
  <c r="D13" i="19"/>
  <c r="F10" i="18"/>
  <c r="I10" i="18" s="1"/>
  <c r="L10" i="18" s="1"/>
  <c r="F16" i="19"/>
  <c r="I16" i="19" s="1"/>
  <c r="L16" i="19" s="1"/>
  <c r="C16" i="22" s="1"/>
  <c r="B17" i="18"/>
  <c r="D17" i="19"/>
  <c r="H12" i="18"/>
  <c r="K12" i="18" s="1"/>
  <c r="N12" i="18" s="1"/>
  <c r="E12" i="19" s="1"/>
  <c r="B21" i="19"/>
  <c r="B21" i="18"/>
  <c r="B17" i="17"/>
  <c r="B12" i="17"/>
  <c r="B15" i="18"/>
  <c r="B6" i="17"/>
  <c r="D23" i="17"/>
  <c r="I3" i="4" s="1"/>
  <c r="M3" i="17"/>
  <c r="D3" i="18" s="1"/>
  <c r="G3" i="18" s="1"/>
  <c r="J3" i="18" s="1"/>
  <c r="V3" i="16"/>
  <c r="E10" i="15"/>
  <c r="L6" i="18" l="1"/>
  <c r="C6" i="19" s="1"/>
  <c r="B5" i="32"/>
  <c r="B20" i="29"/>
  <c r="H23" i="17"/>
  <c r="I7" i="4" s="1"/>
  <c r="H21" i="23"/>
  <c r="K21" i="23" s="1"/>
  <c r="N21" i="23" s="1"/>
  <c r="E21" i="24" s="1"/>
  <c r="H5" i="33"/>
  <c r="K5" i="33" s="1"/>
  <c r="N5" i="33" s="1"/>
  <c r="H15" i="23"/>
  <c r="K15" i="23" s="1"/>
  <c r="N15" i="23" s="1"/>
  <c r="E15" i="24" s="1"/>
  <c r="H9" i="23"/>
  <c r="K9" i="23" s="1"/>
  <c r="N9" i="23" s="1"/>
  <c r="E9" i="24" s="1"/>
  <c r="B9" i="23"/>
  <c r="H20" i="30"/>
  <c r="K20" i="30" s="1"/>
  <c r="N20" i="30" s="1"/>
  <c r="E20" i="31" s="1"/>
  <c r="H20" i="31" s="1"/>
  <c r="K20" i="31" s="1"/>
  <c r="N20" i="31" s="1"/>
  <c r="B4" i="23"/>
  <c r="K19" i="18"/>
  <c r="N19" i="18" s="1"/>
  <c r="C14" i="18"/>
  <c r="E23" i="17"/>
  <c r="I4" i="4" s="1"/>
  <c r="B14" i="17"/>
  <c r="B9" i="22"/>
  <c r="H7" i="22"/>
  <c r="K7" i="22" s="1"/>
  <c r="N7" i="22" s="1"/>
  <c r="E7" i="23" s="1"/>
  <c r="G11" i="22"/>
  <c r="J11" i="22" s="1"/>
  <c r="M11" i="22" s="1"/>
  <c r="D11" i="23" s="1"/>
  <c r="B21" i="22"/>
  <c r="M25" i="17"/>
  <c r="H12" i="4"/>
  <c r="J25" i="17"/>
  <c r="H9" i="4"/>
  <c r="D26" i="17"/>
  <c r="I25" i="17"/>
  <c r="H8" i="4"/>
  <c r="B15" i="22"/>
  <c r="F16" i="22"/>
  <c r="I16" i="22" s="1"/>
  <c r="L16" i="22" s="1"/>
  <c r="C16" i="23" s="1"/>
  <c r="B7" i="19"/>
  <c r="B6" i="18"/>
  <c r="B11" i="18"/>
  <c r="B11" i="17"/>
  <c r="B11" i="19"/>
  <c r="B8" i="17"/>
  <c r="G23" i="17"/>
  <c r="F8" i="18"/>
  <c r="I8" i="18" s="1"/>
  <c r="L8" i="18" s="1"/>
  <c r="C8" i="19" s="1"/>
  <c r="C10" i="19"/>
  <c r="F10" i="19" s="1"/>
  <c r="I10" i="19" s="1"/>
  <c r="L10" i="19" s="1"/>
  <c r="C18" i="17"/>
  <c r="L23" i="16"/>
  <c r="D25" i="18"/>
  <c r="B10" i="18"/>
  <c r="G17" i="19"/>
  <c r="J17" i="19" s="1"/>
  <c r="M17" i="19" s="1"/>
  <c r="D17" i="22" s="1"/>
  <c r="H12" i="19"/>
  <c r="K12" i="19" s="1"/>
  <c r="N12" i="19" s="1"/>
  <c r="E12" i="22" s="1"/>
  <c r="G13" i="19"/>
  <c r="J13" i="19" s="1"/>
  <c r="M13" i="19" s="1"/>
  <c r="D13" i="22" s="1"/>
  <c r="B12" i="18"/>
  <c r="B16" i="19"/>
  <c r="K23" i="17"/>
  <c r="I10" i="4" s="1"/>
  <c r="J23" i="17"/>
  <c r="I9" i="4" s="1"/>
  <c r="M3" i="18"/>
  <c r="D3" i="19" s="1"/>
  <c r="G3" i="19" s="1"/>
  <c r="J3" i="19" s="1"/>
  <c r="M3" i="19" s="1"/>
  <c r="D3" i="22" s="1"/>
  <c r="B3" i="17"/>
  <c r="H7" i="13"/>
  <c r="I7" i="13" s="1"/>
  <c r="F6" i="19" l="1"/>
  <c r="I6" i="19" s="1"/>
  <c r="B5" i="33"/>
  <c r="H25" i="18"/>
  <c r="H26" i="17"/>
  <c r="G11" i="23"/>
  <c r="J11" i="23" s="1"/>
  <c r="M11" i="23" s="1"/>
  <c r="D11" i="24" s="1"/>
  <c r="H9" i="24"/>
  <c r="K9" i="24" s="1"/>
  <c r="N9" i="24" s="1"/>
  <c r="E9" i="25" s="1"/>
  <c r="B9" i="24"/>
  <c r="F16" i="23"/>
  <c r="I16" i="23" s="1"/>
  <c r="L16" i="23" s="1"/>
  <c r="C16" i="24" s="1"/>
  <c r="H7" i="23"/>
  <c r="B20" i="30"/>
  <c r="B15" i="23"/>
  <c r="B21" i="23"/>
  <c r="B20" i="31"/>
  <c r="E20" i="32"/>
  <c r="H15" i="24"/>
  <c r="K15" i="24" s="1"/>
  <c r="N15" i="24" s="1"/>
  <c r="E15" i="25" s="1"/>
  <c r="H21" i="24"/>
  <c r="K21" i="24" s="1"/>
  <c r="N21" i="24" s="1"/>
  <c r="E21" i="25" s="1"/>
  <c r="B19" i="18"/>
  <c r="E19" i="19"/>
  <c r="E26" i="17"/>
  <c r="E25" i="18"/>
  <c r="D14" i="18"/>
  <c r="E14" i="18" s="1"/>
  <c r="F14" i="18" s="1"/>
  <c r="G14" i="18" s="1"/>
  <c r="H14" i="18" s="1"/>
  <c r="I14" i="18" s="1"/>
  <c r="J14" i="18" s="1"/>
  <c r="K14" i="18" s="1"/>
  <c r="L14" i="18" s="1"/>
  <c r="M14" i="18" s="1"/>
  <c r="N14" i="18" s="1"/>
  <c r="G4" i="14"/>
  <c r="B11" i="22"/>
  <c r="B10" i="19"/>
  <c r="C10" i="22"/>
  <c r="F10" i="22" s="1"/>
  <c r="I10" i="22" s="1"/>
  <c r="L10" i="22" s="1"/>
  <c r="B16" i="22"/>
  <c r="B7" i="22"/>
  <c r="G3" i="22"/>
  <c r="J3" i="22" s="1"/>
  <c r="M3" i="22" s="1"/>
  <c r="D3" i="23" s="1"/>
  <c r="H12" i="22"/>
  <c r="K12" i="22" s="1"/>
  <c r="N12" i="22" s="1"/>
  <c r="E12" i="23" s="1"/>
  <c r="G13" i="22"/>
  <c r="J13" i="22" s="1"/>
  <c r="M13" i="22" s="1"/>
  <c r="D13" i="23" s="1"/>
  <c r="G17" i="22"/>
  <c r="J17" i="22" s="1"/>
  <c r="M17" i="22" s="1"/>
  <c r="D17" i="23" s="1"/>
  <c r="G26" i="17"/>
  <c r="I6" i="4"/>
  <c r="L25" i="17"/>
  <c r="B25" i="17" s="1"/>
  <c r="H11" i="4"/>
  <c r="G5" i="14" s="1"/>
  <c r="B23" i="16"/>
  <c r="B7" i="21" s="1"/>
  <c r="E7" i="21" s="1"/>
  <c r="B8" i="18"/>
  <c r="G25" i="18"/>
  <c r="F8" i="19"/>
  <c r="I8" i="19" s="1"/>
  <c r="L8" i="19" s="1"/>
  <c r="C8" i="22" s="1"/>
  <c r="F8" i="22" s="1"/>
  <c r="I8" i="22" s="1"/>
  <c r="L8" i="22" s="1"/>
  <c r="F18" i="17"/>
  <c r="C23" i="17"/>
  <c r="I2" i="4" s="1"/>
  <c r="H2" i="14" s="1"/>
  <c r="J26" i="17"/>
  <c r="J25" i="18"/>
  <c r="K26" i="17"/>
  <c r="K25" i="18"/>
  <c r="B13" i="19"/>
  <c r="B3" i="19"/>
  <c r="B12" i="19"/>
  <c r="B17" i="19"/>
  <c r="N23" i="17"/>
  <c r="I13" i="4" s="1"/>
  <c r="B4" i="17"/>
  <c r="M23" i="17"/>
  <c r="I12" i="4" s="1"/>
  <c r="B3" i="18"/>
  <c r="U25" i="15"/>
  <c r="S25" i="15"/>
  <c r="D25" i="15"/>
  <c r="E25" i="15"/>
  <c r="F25" i="15"/>
  <c r="G25" i="15"/>
  <c r="H25" i="15"/>
  <c r="I25" i="15"/>
  <c r="J25" i="15"/>
  <c r="K25" i="15"/>
  <c r="L25" i="15"/>
  <c r="M25" i="15"/>
  <c r="N25" i="15"/>
  <c r="C25" i="15"/>
  <c r="R3" i="15"/>
  <c r="T3" i="15" s="1"/>
  <c r="Q3" i="15"/>
  <c r="V3" i="15" s="1"/>
  <c r="W3" i="15"/>
  <c r="B3" i="15"/>
  <c r="B16" i="23" l="1"/>
  <c r="L6" i="19"/>
  <c r="C6" i="22" s="1"/>
  <c r="B15" i="24"/>
  <c r="B11" i="23"/>
  <c r="B21" i="24"/>
  <c r="H12" i="23"/>
  <c r="K12" i="23" s="1"/>
  <c r="N12" i="23" s="1"/>
  <c r="E12" i="24" s="1"/>
  <c r="B10" i="22"/>
  <c r="C10" i="23"/>
  <c r="H21" i="25"/>
  <c r="K21" i="25" s="1"/>
  <c r="N21" i="25" s="1"/>
  <c r="E21" i="26" s="1"/>
  <c r="F16" i="24"/>
  <c r="I16" i="24" s="1"/>
  <c r="L16" i="24" s="1"/>
  <c r="C16" i="25" s="1"/>
  <c r="G3" i="23"/>
  <c r="G13" i="23"/>
  <c r="J13" i="23" s="1"/>
  <c r="M13" i="23" s="1"/>
  <c r="D13" i="24" s="1"/>
  <c r="H20" i="32"/>
  <c r="K20" i="32" s="1"/>
  <c r="N20" i="32" s="1"/>
  <c r="E20" i="33" s="1"/>
  <c r="B8" i="22"/>
  <c r="C8" i="23"/>
  <c r="G17" i="23"/>
  <c r="J17" i="23" s="1"/>
  <c r="M17" i="23" s="1"/>
  <c r="D17" i="24" s="1"/>
  <c r="B17" i="23"/>
  <c r="H15" i="25"/>
  <c r="K15" i="25" s="1"/>
  <c r="N15" i="25" s="1"/>
  <c r="E15" i="26" s="1"/>
  <c r="K7" i="23"/>
  <c r="H9" i="25"/>
  <c r="K9" i="25" s="1"/>
  <c r="N9" i="25" s="1"/>
  <c r="E9" i="26" s="1"/>
  <c r="B9" i="25"/>
  <c r="G11" i="24"/>
  <c r="J11" i="24" s="1"/>
  <c r="M11" i="24" s="1"/>
  <c r="D11" i="25" s="1"/>
  <c r="H19" i="19"/>
  <c r="K19" i="19" s="1"/>
  <c r="N19" i="19" s="1"/>
  <c r="E19" i="22" s="1"/>
  <c r="H19" i="22" s="1"/>
  <c r="K19" i="22" s="1"/>
  <c r="N19" i="22" s="1"/>
  <c r="E19" i="23" s="1"/>
  <c r="C14" i="19"/>
  <c r="B14" i="18"/>
  <c r="B13" i="22"/>
  <c r="B3" i="22"/>
  <c r="B8" i="19"/>
  <c r="B12" i="22"/>
  <c r="B17" i="22"/>
  <c r="B19" i="22"/>
  <c r="C26" i="17"/>
  <c r="C25" i="18"/>
  <c r="I18" i="17"/>
  <c r="F23" i="17"/>
  <c r="I5" i="4" s="1"/>
  <c r="H3" i="14" s="1"/>
  <c r="N26" i="17"/>
  <c r="N25" i="18"/>
  <c r="M26" i="17"/>
  <c r="M25" i="18"/>
  <c r="G6" i="14"/>
  <c r="B25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W21" i="16"/>
  <c r="R21" i="16"/>
  <c r="T21" i="16" s="1"/>
  <c r="Q21" i="16"/>
  <c r="V21" i="16" s="1"/>
  <c r="B21" i="16"/>
  <c r="W19" i="16"/>
  <c r="T19" i="16"/>
  <c r="Q19" i="16"/>
  <c r="V19" i="16" s="1"/>
  <c r="B19" i="16"/>
  <c r="W18" i="16"/>
  <c r="T18" i="16"/>
  <c r="Q18" i="16"/>
  <c r="V18" i="16" s="1"/>
  <c r="B18" i="16"/>
  <c r="W17" i="16"/>
  <c r="T17" i="16"/>
  <c r="Q17" i="16"/>
  <c r="V17" i="16" s="1"/>
  <c r="B17" i="16"/>
  <c r="W16" i="16"/>
  <c r="T16" i="16"/>
  <c r="Q16" i="16"/>
  <c r="V16" i="16" s="1"/>
  <c r="B16" i="16"/>
  <c r="W15" i="16"/>
  <c r="T15" i="16"/>
  <c r="Q15" i="16"/>
  <c r="V15" i="16" s="1"/>
  <c r="B15" i="16"/>
  <c r="W14" i="16"/>
  <c r="R14" i="16"/>
  <c r="T14" i="16" s="1"/>
  <c r="Q14" i="16"/>
  <c r="V14" i="16" s="1"/>
  <c r="B14" i="16"/>
  <c r="W13" i="16"/>
  <c r="R13" i="16"/>
  <c r="T13" i="16" s="1"/>
  <c r="Q13" i="16"/>
  <c r="V13" i="16" s="1"/>
  <c r="B13" i="16"/>
  <c r="W12" i="16"/>
  <c r="T12" i="16"/>
  <c r="Q12" i="16"/>
  <c r="V12" i="16" s="1"/>
  <c r="B12" i="16"/>
  <c r="W11" i="16"/>
  <c r="R11" i="16"/>
  <c r="T11" i="16" s="1"/>
  <c r="Q11" i="16"/>
  <c r="V11" i="16" s="1"/>
  <c r="B11" i="16"/>
  <c r="W10" i="16"/>
  <c r="R10" i="16"/>
  <c r="T10" i="16" s="1"/>
  <c r="Q10" i="16"/>
  <c r="V10" i="16" s="1"/>
  <c r="B10" i="16"/>
  <c r="W9" i="16"/>
  <c r="R9" i="16"/>
  <c r="T9" i="16" s="1"/>
  <c r="Q9" i="16"/>
  <c r="V9" i="16" s="1"/>
  <c r="B9" i="16"/>
  <c r="W7" i="16"/>
  <c r="R7" i="16"/>
  <c r="T7" i="16" s="1"/>
  <c r="Q7" i="16"/>
  <c r="V7" i="16" s="1"/>
  <c r="B7" i="16"/>
  <c r="W6" i="16"/>
  <c r="V6" i="16"/>
  <c r="R6" i="16"/>
  <c r="T6" i="16" s="1"/>
  <c r="B6" i="16"/>
  <c r="W4" i="16"/>
  <c r="R4" i="16"/>
  <c r="T4" i="16" s="1"/>
  <c r="Q4" i="16"/>
  <c r="B4" i="16"/>
  <c r="F6" i="22" l="1"/>
  <c r="I6" i="22" s="1"/>
  <c r="B6" i="19"/>
  <c r="B11" i="24"/>
  <c r="B15" i="25"/>
  <c r="B12" i="23"/>
  <c r="B21" i="25"/>
  <c r="H20" i="33"/>
  <c r="K20" i="33" s="1"/>
  <c r="N20" i="33" s="1"/>
  <c r="J3" i="23"/>
  <c r="F10" i="23"/>
  <c r="I10" i="23" s="1"/>
  <c r="L10" i="23" s="1"/>
  <c r="C10" i="24" s="1"/>
  <c r="G11" i="25"/>
  <c r="J11" i="25" s="1"/>
  <c r="M11" i="25" s="1"/>
  <c r="D11" i="26" s="1"/>
  <c r="N7" i="23"/>
  <c r="B7" i="23" s="1"/>
  <c r="G17" i="24"/>
  <c r="J17" i="24" s="1"/>
  <c r="M17" i="24" s="1"/>
  <c r="D17" i="25" s="1"/>
  <c r="B13" i="23"/>
  <c r="B16" i="24"/>
  <c r="F8" i="23"/>
  <c r="G13" i="24"/>
  <c r="J13" i="24" s="1"/>
  <c r="M13" i="24" s="1"/>
  <c r="D13" i="25" s="1"/>
  <c r="F16" i="25"/>
  <c r="I16" i="25" s="1"/>
  <c r="L16" i="25" s="1"/>
  <c r="C16" i="26" s="1"/>
  <c r="H19" i="23"/>
  <c r="K19" i="23" s="1"/>
  <c r="N19" i="23" s="1"/>
  <c r="E19" i="24" s="1"/>
  <c r="H9" i="26"/>
  <c r="K9" i="26" s="1"/>
  <c r="N9" i="26" s="1"/>
  <c r="E9" i="27" s="1"/>
  <c r="H15" i="26"/>
  <c r="K15" i="26" s="1"/>
  <c r="N15" i="26" s="1"/>
  <c r="E15" i="27" s="1"/>
  <c r="B20" i="32"/>
  <c r="H21" i="26"/>
  <c r="K21" i="26" s="1"/>
  <c r="N21" i="26" s="1"/>
  <c r="E21" i="27" s="1"/>
  <c r="H12" i="24"/>
  <c r="K12" i="24" s="1"/>
  <c r="N12" i="24" s="1"/>
  <c r="E12" i="25" s="1"/>
  <c r="B19" i="19"/>
  <c r="D14" i="19"/>
  <c r="E14" i="19" s="1"/>
  <c r="F14" i="19" s="1"/>
  <c r="G14" i="19" s="1"/>
  <c r="H14" i="19" s="1"/>
  <c r="I14" i="19" s="1"/>
  <c r="J14" i="19" s="1"/>
  <c r="K14" i="19" s="1"/>
  <c r="L14" i="19" s="1"/>
  <c r="M14" i="19" s="1"/>
  <c r="N14" i="19" s="1"/>
  <c r="C14" i="22" s="1"/>
  <c r="D14" i="22" s="1"/>
  <c r="W23" i="16"/>
  <c r="L18" i="17"/>
  <c r="B18" i="17" s="1"/>
  <c r="B23" i="17" s="1"/>
  <c r="B8" i="21" s="1"/>
  <c r="E8" i="21" s="1"/>
  <c r="I23" i="17"/>
  <c r="I8" i="4" s="1"/>
  <c r="H4" i="14" s="1"/>
  <c r="F26" i="17"/>
  <c r="F25" i="18"/>
  <c r="D23" i="18"/>
  <c r="V4" i="16"/>
  <c r="B19" i="15"/>
  <c r="L6" i="22" l="1"/>
  <c r="B6" i="22" s="1"/>
  <c r="B21" i="26"/>
  <c r="B11" i="25"/>
  <c r="B12" i="24"/>
  <c r="B19" i="23"/>
  <c r="B20" i="33"/>
  <c r="B10" i="23"/>
  <c r="H15" i="27"/>
  <c r="K15" i="27" s="1"/>
  <c r="N15" i="27" s="1"/>
  <c r="E15" i="28" s="1"/>
  <c r="G17" i="25"/>
  <c r="J17" i="25" s="1"/>
  <c r="M17" i="25" s="1"/>
  <c r="D17" i="26" s="1"/>
  <c r="H21" i="27"/>
  <c r="K21" i="27" s="1"/>
  <c r="N21" i="27" s="1"/>
  <c r="E21" i="28" s="1"/>
  <c r="H21" i="28" s="1"/>
  <c r="K21" i="28" s="1"/>
  <c r="N21" i="28" s="1"/>
  <c r="B9" i="26"/>
  <c r="B16" i="25"/>
  <c r="I8" i="23"/>
  <c r="G11" i="26"/>
  <c r="J11" i="26" s="1"/>
  <c r="M11" i="26" s="1"/>
  <c r="D11" i="27" s="1"/>
  <c r="M3" i="23"/>
  <c r="H9" i="27"/>
  <c r="K9" i="27" s="1"/>
  <c r="N9" i="27" s="1"/>
  <c r="E9" i="28" s="1"/>
  <c r="F16" i="26"/>
  <c r="I16" i="26" s="1"/>
  <c r="L16" i="26" s="1"/>
  <c r="C16" i="27" s="1"/>
  <c r="G13" i="25"/>
  <c r="J13" i="25" s="1"/>
  <c r="M13" i="25" s="1"/>
  <c r="D13" i="26" s="1"/>
  <c r="H12" i="25"/>
  <c r="K12" i="25" s="1"/>
  <c r="N12" i="25" s="1"/>
  <c r="E12" i="26" s="1"/>
  <c r="B15" i="26"/>
  <c r="H19" i="24"/>
  <c r="K19" i="24" s="1"/>
  <c r="N19" i="24" s="1"/>
  <c r="E19" i="25" s="1"/>
  <c r="B19" i="24"/>
  <c r="B13" i="24"/>
  <c r="B17" i="24"/>
  <c r="E7" i="24"/>
  <c r="F10" i="24"/>
  <c r="I10" i="24" s="1"/>
  <c r="L10" i="24" s="1"/>
  <c r="C10" i="25" s="1"/>
  <c r="E14" i="22"/>
  <c r="D23" i="22"/>
  <c r="B14" i="19"/>
  <c r="J3" i="4"/>
  <c r="B26" i="17"/>
  <c r="V23" i="17"/>
  <c r="I26" i="17"/>
  <c r="I25" i="18"/>
  <c r="C18" i="18"/>
  <c r="L23" i="17"/>
  <c r="I11" i="4" s="1"/>
  <c r="H5" i="14" s="1"/>
  <c r="H6" i="14" s="1"/>
  <c r="H7" i="14" s="1"/>
  <c r="V23" i="16"/>
  <c r="D26" i="18"/>
  <c r="D25" i="19"/>
  <c r="E23" i="18"/>
  <c r="B26" i="16"/>
  <c r="B6" i="15"/>
  <c r="C6" i="23" l="1"/>
  <c r="B9" i="27"/>
  <c r="B17" i="25"/>
  <c r="B15" i="27"/>
  <c r="B11" i="26"/>
  <c r="B13" i="25"/>
  <c r="B21" i="27"/>
  <c r="B10" i="24"/>
  <c r="B12" i="25"/>
  <c r="F10" i="25"/>
  <c r="I10" i="25" s="1"/>
  <c r="L10" i="25" s="1"/>
  <c r="C10" i="26" s="1"/>
  <c r="H9" i="28"/>
  <c r="K9" i="28" s="1"/>
  <c r="N9" i="28" s="1"/>
  <c r="E9" i="29" s="1"/>
  <c r="B9" i="28"/>
  <c r="L3" i="4"/>
  <c r="D25" i="23"/>
  <c r="H12" i="26"/>
  <c r="K12" i="26" s="1"/>
  <c r="N12" i="26" s="1"/>
  <c r="E12" i="27" s="1"/>
  <c r="B12" i="26"/>
  <c r="G13" i="26"/>
  <c r="J13" i="26" s="1"/>
  <c r="M13" i="26" s="1"/>
  <c r="D13" i="27" s="1"/>
  <c r="B16" i="26"/>
  <c r="G11" i="27"/>
  <c r="J11" i="27" s="1"/>
  <c r="M11" i="27" s="1"/>
  <c r="D11" i="28" s="1"/>
  <c r="G17" i="26"/>
  <c r="J17" i="26" s="1"/>
  <c r="M17" i="26" s="1"/>
  <c r="D17" i="27" s="1"/>
  <c r="H7" i="24"/>
  <c r="K7" i="24" s="1"/>
  <c r="N7" i="24" s="1"/>
  <c r="E7" i="25" s="1"/>
  <c r="H19" i="25"/>
  <c r="K19" i="25" s="1"/>
  <c r="N19" i="25" s="1"/>
  <c r="E19" i="26" s="1"/>
  <c r="F16" i="27"/>
  <c r="I16" i="27" s="1"/>
  <c r="L16" i="27" s="1"/>
  <c r="C16" i="28" s="1"/>
  <c r="B3" i="23"/>
  <c r="D3" i="24"/>
  <c r="L8" i="23"/>
  <c r="B21" i="28"/>
  <c r="E21" i="29"/>
  <c r="H15" i="28"/>
  <c r="K15" i="28" s="1"/>
  <c r="N15" i="28" s="1"/>
  <c r="E15" i="29" s="1"/>
  <c r="F14" i="22"/>
  <c r="G14" i="22" s="1"/>
  <c r="E23" i="22"/>
  <c r="J4" i="4"/>
  <c r="L25" i="18"/>
  <c r="B25" i="18" s="1"/>
  <c r="L26" i="17"/>
  <c r="F18" i="18"/>
  <c r="C23" i="18"/>
  <c r="E26" i="18"/>
  <c r="E25" i="19"/>
  <c r="H19" i="13"/>
  <c r="I19" i="13" s="1"/>
  <c r="W6" i="15"/>
  <c r="V6" i="15"/>
  <c r="R6" i="15"/>
  <c r="T6" i="15" s="1"/>
  <c r="B4" i="12"/>
  <c r="W4" i="12"/>
  <c r="V4" i="12"/>
  <c r="R4" i="12"/>
  <c r="T4" i="12" s="1"/>
  <c r="F6" i="23" l="1"/>
  <c r="I6" i="23" s="1"/>
  <c r="L6" i="23" s="1"/>
  <c r="C6" i="24" s="1"/>
  <c r="F6" i="24" s="1"/>
  <c r="I6" i="24" s="1"/>
  <c r="L6" i="24" s="1"/>
  <c r="B6" i="23"/>
  <c r="B16" i="27"/>
  <c r="B17" i="26"/>
  <c r="B15" i="28"/>
  <c r="B7" i="24"/>
  <c r="B11" i="27"/>
  <c r="L4" i="4"/>
  <c r="E25" i="23"/>
  <c r="C8" i="24"/>
  <c r="G13" i="27"/>
  <c r="J13" i="27" s="1"/>
  <c r="M13" i="27" s="1"/>
  <c r="D13" i="28" s="1"/>
  <c r="F16" i="28"/>
  <c r="I16" i="28" s="1"/>
  <c r="L16" i="28" s="1"/>
  <c r="C16" i="29" s="1"/>
  <c r="B8" i="23"/>
  <c r="G3" i="24"/>
  <c r="H12" i="27"/>
  <c r="K12" i="27" s="1"/>
  <c r="N12" i="27" s="1"/>
  <c r="E12" i="28" s="1"/>
  <c r="B12" i="27"/>
  <c r="H9" i="29"/>
  <c r="K9" i="29" s="1"/>
  <c r="N9" i="29" s="1"/>
  <c r="E9" i="30" s="1"/>
  <c r="H21" i="29"/>
  <c r="K21" i="29" s="1"/>
  <c r="N21" i="29" s="1"/>
  <c r="E21" i="30" s="1"/>
  <c r="B21" i="29"/>
  <c r="H19" i="26"/>
  <c r="K19" i="26" s="1"/>
  <c r="N19" i="26" s="1"/>
  <c r="E19" i="27" s="1"/>
  <c r="F10" i="26"/>
  <c r="I10" i="26" s="1"/>
  <c r="L10" i="26" s="1"/>
  <c r="C10" i="27" s="1"/>
  <c r="G17" i="27"/>
  <c r="J17" i="27" s="1"/>
  <c r="M17" i="27" s="1"/>
  <c r="D17" i="28" s="1"/>
  <c r="H15" i="29"/>
  <c r="K15" i="29" s="1"/>
  <c r="N15" i="29" s="1"/>
  <c r="E15" i="30" s="1"/>
  <c r="B19" i="25"/>
  <c r="H7" i="25"/>
  <c r="K7" i="25" s="1"/>
  <c r="N7" i="25" s="1"/>
  <c r="E7" i="26" s="1"/>
  <c r="G11" i="28"/>
  <c r="J11" i="28" s="1"/>
  <c r="M11" i="28" s="1"/>
  <c r="D11" i="29" s="1"/>
  <c r="B13" i="26"/>
  <c r="B10" i="25"/>
  <c r="H14" i="22"/>
  <c r="G23" i="22"/>
  <c r="J2" i="4"/>
  <c r="I2" i="14" s="1"/>
  <c r="I18" i="18"/>
  <c r="L18" i="18" s="1"/>
  <c r="C18" i="19" s="1"/>
  <c r="F23" i="18"/>
  <c r="J5" i="4" s="1"/>
  <c r="C26" i="18"/>
  <c r="C25" i="19"/>
  <c r="G23" i="18"/>
  <c r="H15" i="13"/>
  <c r="I15" i="13" s="1"/>
  <c r="W19" i="15"/>
  <c r="T19" i="15"/>
  <c r="Q19" i="15"/>
  <c r="V19" i="15" s="1"/>
  <c r="W16" i="12"/>
  <c r="T16" i="12"/>
  <c r="Q16" i="12"/>
  <c r="V16" i="12" s="1"/>
  <c r="B16" i="12"/>
  <c r="B17" i="27" l="1"/>
  <c r="B13" i="27"/>
  <c r="B11" i="28"/>
  <c r="H15" i="30"/>
  <c r="K15" i="30" s="1"/>
  <c r="N15" i="30" s="1"/>
  <c r="E15" i="31" s="1"/>
  <c r="H15" i="31" s="1"/>
  <c r="K15" i="31" s="1"/>
  <c r="N15" i="31" s="1"/>
  <c r="H19" i="27"/>
  <c r="K19" i="27" s="1"/>
  <c r="N19" i="27" s="1"/>
  <c r="E19" i="28" s="1"/>
  <c r="J3" i="24"/>
  <c r="F16" i="29"/>
  <c r="I16" i="29" s="1"/>
  <c r="L16" i="29" s="1"/>
  <c r="C16" i="30" s="1"/>
  <c r="B16" i="29"/>
  <c r="C6" i="25"/>
  <c r="F6" i="25" s="1"/>
  <c r="G11" i="29"/>
  <c r="J11" i="29" s="1"/>
  <c r="M11" i="29" s="1"/>
  <c r="D11" i="30" s="1"/>
  <c r="G17" i="28"/>
  <c r="J17" i="28" s="1"/>
  <c r="M17" i="28" s="1"/>
  <c r="D17" i="29" s="1"/>
  <c r="H21" i="30"/>
  <c r="K21" i="30" s="1"/>
  <c r="N21" i="30" s="1"/>
  <c r="E21" i="31" s="1"/>
  <c r="H12" i="28"/>
  <c r="K12" i="28" s="1"/>
  <c r="N12" i="28" s="1"/>
  <c r="E12" i="29" s="1"/>
  <c r="G13" i="28"/>
  <c r="J13" i="28" s="1"/>
  <c r="M13" i="28" s="1"/>
  <c r="D13" i="29" s="1"/>
  <c r="H7" i="26"/>
  <c r="K7" i="26" s="1"/>
  <c r="N7" i="26" s="1"/>
  <c r="E7" i="27" s="1"/>
  <c r="B7" i="26"/>
  <c r="F10" i="27"/>
  <c r="I10" i="27" s="1"/>
  <c r="L10" i="27" s="1"/>
  <c r="C10" i="28" s="1"/>
  <c r="H9" i="30"/>
  <c r="K9" i="30" s="1"/>
  <c r="N9" i="30" s="1"/>
  <c r="E9" i="31" s="1"/>
  <c r="B9" i="30"/>
  <c r="F8" i="24"/>
  <c r="L6" i="4"/>
  <c r="G25" i="23"/>
  <c r="B7" i="25"/>
  <c r="B15" i="29"/>
  <c r="B10" i="26"/>
  <c r="B19" i="26"/>
  <c r="B9" i="29"/>
  <c r="B16" i="28"/>
  <c r="I14" i="22"/>
  <c r="J14" i="22" s="1"/>
  <c r="H23" i="22"/>
  <c r="J6" i="4"/>
  <c r="F26" i="18"/>
  <c r="F25" i="19"/>
  <c r="F18" i="19"/>
  <c r="I18" i="19" s="1"/>
  <c r="L18" i="19" s="1"/>
  <c r="B18" i="18"/>
  <c r="G26" i="18"/>
  <c r="G25" i="19"/>
  <c r="H23" i="18"/>
  <c r="W13" i="15"/>
  <c r="T13" i="15"/>
  <c r="Q13" i="15"/>
  <c r="V13" i="15" s="1"/>
  <c r="B13" i="15"/>
  <c r="H12" i="13"/>
  <c r="I12" i="13" s="1"/>
  <c r="W10" i="12"/>
  <c r="T10" i="12"/>
  <c r="Q10" i="12"/>
  <c r="V10" i="12" s="1"/>
  <c r="B10" i="12"/>
  <c r="B11" i="29" l="1"/>
  <c r="B12" i="28"/>
  <c r="B15" i="30"/>
  <c r="B19" i="27"/>
  <c r="H9" i="31"/>
  <c r="K9" i="31" s="1"/>
  <c r="N9" i="31" s="1"/>
  <c r="E9" i="32" s="1"/>
  <c r="H12" i="29"/>
  <c r="K12" i="29" s="1"/>
  <c r="N12" i="29" s="1"/>
  <c r="E12" i="30" s="1"/>
  <c r="F16" i="30"/>
  <c r="I16" i="30" s="1"/>
  <c r="L16" i="30" s="1"/>
  <c r="C16" i="31" s="1"/>
  <c r="H19" i="28"/>
  <c r="K19" i="28" s="1"/>
  <c r="N19" i="28" s="1"/>
  <c r="E19" i="29" s="1"/>
  <c r="L7" i="4"/>
  <c r="H25" i="23"/>
  <c r="B10" i="27"/>
  <c r="B13" i="28"/>
  <c r="B21" i="30"/>
  <c r="B17" i="28"/>
  <c r="B6" i="24"/>
  <c r="H7" i="27"/>
  <c r="K7" i="27" s="1"/>
  <c r="N7" i="27" s="1"/>
  <c r="E7" i="28" s="1"/>
  <c r="G11" i="30"/>
  <c r="J11" i="30" s="1"/>
  <c r="M11" i="30" s="1"/>
  <c r="D11" i="31" s="1"/>
  <c r="B11" i="30"/>
  <c r="I8" i="24"/>
  <c r="F10" i="28"/>
  <c r="I10" i="28" s="1"/>
  <c r="L10" i="28" s="1"/>
  <c r="C10" i="29" s="1"/>
  <c r="B10" i="28"/>
  <c r="G13" i="29"/>
  <c r="J13" i="29" s="1"/>
  <c r="M13" i="29" s="1"/>
  <c r="D13" i="30" s="1"/>
  <c r="H21" i="31"/>
  <c r="K21" i="31" s="1"/>
  <c r="N21" i="31" s="1"/>
  <c r="E21" i="32" s="1"/>
  <c r="G17" i="29"/>
  <c r="J17" i="29" s="1"/>
  <c r="M17" i="29" s="1"/>
  <c r="D17" i="30" s="1"/>
  <c r="I6" i="25"/>
  <c r="M3" i="24"/>
  <c r="B15" i="31"/>
  <c r="E15" i="32"/>
  <c r="J23" i="22"/>
  <c r="K14" i="22"/>
  <c r="J7" i="4"/>
  <c r="I3" i="14" s="1"/>
  <c r="B18" i="19"/>
  <c r="C18" i="22"/>
  <c r="H26" i="18"/>
  <c r="H25" i="19"/>
  <c r="I23" i="18"/>
  <c r="L6" i="25" l="1"/>
  <c r="C6" i="26" s="1"/>
  <c r="F6" i="26" s="1"/>
  <c r="I6" i="26" s="1"/>
  <c r="B21" i="31"/>
  <c r="B7" i="27"/>
  <c r="B9" i="31"/>
  <c r="B6" i="25"/>
  <c r="B17" i="29"/>
  <c r="B13" i="29"/>
  <c r="B19" i="28"/>
  <c r="H12" i="30"/>
  <c r="K12" i="30" s="1"/>
  <c r="N12" i="30" s="1"/>
  <c r="E12" i="31" s="1"/>
  <c r="L9" i="4"/>
  <c r="J25" i="23"/>
  <c r="D3" i="25"/>
  <c r="B3" i="24"/>
  <c r="G13" i="30"/>
  <c r="J13" i="30" s="1"/>
  <c r="M13" i="30" s="1"/>
  <c r="D13" i="31" s="1"/>
  <c r="L8" i="24"/>
  <c r="B4" i="24"/>
  <c r="H15" i="32"/>
  <c r="K15" i="32" s="1"/>
  <c r="N15" i="32" s="1"/>
  <c r="E15" i="33" s="1"/>
  <c r="H19" i="29"/>
  <c r="K19" i="29" s="1"/>
  <c r="N19" i="29" s="1"/>
  <c r="E19" i="30" s="1"/>
  <c r="H9" i="32"/>
  <c r="K9" i="32" s="1"/>
  <c r="N9" i="32" s="1"/>
  <c r="E9" i="33" s="1"/>
  <c r="B9" i="32"/>
  <c r="F16" i="31"/>
  <c r="I16" i="31" s="1"/>
  <c r="L16" i="31" s="1"/>
  <c r="C16" i="32" s="1"/>
  <c r="G17" i="30"/>
  <c r="J17" i="30" s="1"/>
  <c r="M17" i="30" s="1"/>
  <c r="D17" i="31" s="1"/>
  <c r="G17" i="31" s="1"/>
  <c r="J17" i="31" s="1"/>
  <c r="M17" i="31" s="1"/>
  <c r="H7" i="28"/>
  <c r="K7" i="28" s="1"/>
  <c r="N7" i="28" s="1"/>
  <c r="E7" i="29" s="1"/>
  <c r="H21" i="32"/>
  <c r="K21" i="32" s="1"/>
  <c r="N21" i="32" s="1"/>
  <c r="E21" i="33" s="1"/>
  <c r="F10" i="29"/>
  <c r="I10" i="29" s="1"/>
  <c r="L10" i="29" s="1"/>
  <c r="C10" i="30" s="1"/>
  <c r="G11" i="31"/>
  <c r="J11" i="31" s="1"/>
  <c r="M11" i="31" s="1"/>
  <c r="D11" i="32" s="1"/>
  <c r="B16" i="30"/>
  <c r="B12" i="29"/>
  <c r="B8" i="24"/>
  <c r="L14" i="22"/>
  <c r="M14" i="22" s="1"/>
  <c r="K23" i="22"/>
  <c r="J8" i="4"/>
  <c r="F18" i="22"/>
  <c r="C23" i="22"/>
  <c r="I26" i="18"/>
  <c r="I25" i="19"/>
  <c r="J23" i="18"/>
  <c r="W8" i="15"/>
  <c r="R8" i="15"/>
  <c r="T8" i="15" s="1"/>
  <c r="Q8" i="15"/>
  <c r="V8" i="15" s="1"/>
  <c r="B8" i="15"/>
  <c r="W6" i="12"/>
  <c r="R6" i="12"/>
  <c r="T6" i="12" s="1"/>
  <c r="Q6" i="12"/>
  <c r="V6" i="12" s="1"/>
  <c r="B6" i="12"/>
  <c r="L6" i="26" l="1"/>
  <c r="C6" i="27" s="1"/>
  <c r="F6" i="27" s="1"/>
  <c r="I6" i="27" s="1"/>
  <c r="B10" i="29"/>
  <c r="B15" i="32"/>
  <c r="B17" i="30"/>
  <c r="B19" i="29"/>
  <c r="B12" i="30"/>
  <c r="G13" i="31"/>
  <c r="J13" i="31" s="1"/>
  <c r="M13" i="31" s="1"/>
  <c r="D13" i="32" s="1"/>
  <c r="L10" i="4"/>
  <c r="K25" i="23"/>
  <c r="B17" i="31"/>
  <c r="D17" i="32"/>
  <c r="H15" i="33"/>
  <c r="K15" i="33" s="1"/>
  <c r="N15" i="33" s="1"/>
  <c r="L2" i="4"/>
  <c r="K2" i="14" s="1"/>
  <c r="C25" i="23"/>
  <c r="B11" i="31"/>
  <c r="B21" i="32"/>
  <c r="B7" i="28"/>
  <c r="B16" i="31"/>
  <c r="C8" i="25"/>
  <c r="F10" i="30"/>
  <c r="I10" i="30" s="1"/>
  <c r="L10" i="30" s="1"/>
  <c r="C10" i="31" s="1"/>
  <c r="B6" i="26"/>
  <c r="H9" i="33"/>
  <c r="K9" i="33" s="1"/>
  <c r="N9" i="33" s="1"/>
  <c r="G11" i="32"/>
  <c r="J11" i="32" s="1"/>
  <c r="M11" i="32" s="1"/>
  <c r="D11" i="33" s="1"/>
  <c r="H21" i="33"/>
  <c r="K21" i="33" s="1"/>
  <c r="N21" i="33" s="1"/>
  <c r="B7" i="29"/>
  <c r="H7" i="29"/>
  <c r="K7" i="29" s="1"/>
  <c r="N7" i="29" s="1"/>
  <c r="E7" i="30" s="1"/>
  <c r="F16" i="32"/>
  <c r="I16" i="32" s="1"/>
  <c r="L16" i="32" s="1"/>
  <c r="C16" i="33" s="1"/>
  <c r="H19" i="30"/>
  <c r="K19" i="30" s="1"/>
  <c r="N19" i="30" s="1"/>
  <c r="E19" i="31" s="1"/>
  <c r="B13" i="30"/>
  <c r="G3" i="25"/>
  <c r="J3" i="25" s="1"/>
  <c r="H12" i="31"/>
  <c r="K12" i="31" s="1"/>
  <c r="N12" i="31" s="1"/>
  <c r="E12" i="32" s="1"/>
  <c r="M23" i="22"/>
  <c r="N14" i="22"/>
  <c r="C14" i="23" s="1"/>
  <c r="J9" i="4"/>
  <c r="I18" i="22"/>
  <c r="F23" i="22"/>
  <c r="J26" i="18"/>
  <c r="J25" i="19"/>
  <c r="K23" i="18"/>
  <c r="B27" i="15"/>
  <c r="U28" i="15"/>
  <c r="W23" i="15"/>
  <c r="R23" i="15"/>
  <c r="T23" i="15" s="1"/>
  <c r="Q23" i="15"/>
  <c r="V23" i="15" s="1"/>
  <c r="B23" i="15"/>
  <c r="B21" i="15"/>
  <c r="W20" i="15"/>
  <c r="R20" i="15"/>
  <c r="T20" i="15" s="1"/>
  <c r="Q20" i="15"/>
  <c r="V20" i="15" s="1"/>
  <c r="B20" i="15"/>
  <c r="W18" i="15"/>
  <c r="T18" i="15"/>
  <c r="Q18" i="15"/>
  <c r="V18" i="15" s="1"/>
  <c r="B18" i="15"/>
  <c r="W17" i="15"/>
  <c r="T17" i="15"/>
  <c r="Q17" i="15"/>
  <c r="V17" i="15" s="1"/>
  <c r="B17" i="15"/>
  <c r="W16" i="15"/>
  <c r="T16" i="15"/>
  <c r="Q16" i="15"/>
  <c r="V16" i="15" s="1"/>
  <c r="B16" i="15"/>
  <c r="W15" i="15"/>
  <c r="R15" i="15"/>
  <c r="T15" i="15" s="1"/>
  <c r="Q15" i="15"/>
  <c r="B15" i="15"/>
  <c r="W14" i="15"/>
  <c r="R14" i="15"/>
  <c r="T14" i="15" s="1"/>
  <c r="Q14" i="15"/>
  <c r="V14" i="15" s="1"/>
  <c r="B14" i="15"/>
  <c r="W12" i="15"/>
  <c r="R12" i="15"/>
  <c r="T12" i="15" s="1"/>
  <c r="Q12" i="15"/>
  <c r="V12" i="15" s="1"/>
  <c r="B12" i="15"/>
  <c r="W11" i="15"/>
  <c r="R11" i="15"/>
  <c r="T11" i="15" s="1"/>
  <c r="Q11" i="15"/>
  <c r="V11" i="15" s="1"/>
  <c r="B11" i="15"/>
  <c r="W10" i="15"/>
  <c r="R10" i="15"/>
  <c r="T10" i="15" s="1"/>
  <c r="Q10" i="15"/>
  <c r="V10" i="15" s="1"/>
  <c r="B10" i="15"/>
  <c r="W7" i="15"/>
  <c r="R7" i="15"/>
  <c r="T7" i="15" s="1"/>
  <c r="Q7" i="15"/>
  <c r="B7" i="15"/>
  <c r="W4" i="15"/>
  <c r="R4" i="15"/>
  <c r="T4" i="15" s="1"/>
  <c r="Q4" i="15"/>
  <c r="B4" i="15"/>
  <c r="L6" i="27" l="1"/>
  <c r="C6" i="28" s="1"/>
  <c r="F6" i="28" s="1"/>
  <c r="I6" i="28" s="1"/>
  <c r="B6" i="27"/>
  <c r="B15" i="33"/>
  <c r="B9" i="33"/>
  <c r="B12" i="31"/>
  <c r="B16" i="32"/>
  <c r="B21" i="33"/>
  <c r="B10" i="30"/>
  <c r="B13" i="31"/>
  <c r="L12" i="4"/>
  <c r="M25" i="23"/>
  <c r="G11" i="33"/>
  <c r="J11" i="33" s="1"/>
  <c r="M11" i="33" s="1"/>
  <c r="B11" i="33"/>
  <c r="G17" i="32"/>
  <c r="J17" i="32" s="1"/>
  <c r="M17" i="32" s="1"/>
  <c r="D17" i="33" s="1"/>
  <c r="M3" i="25"/>
  <c r="B3" i="25" s="1"/>
  <c r="H12" i="32"/>
  <c r="K12" i="32" s="1"/>
  <c r="N12" i="32" s="1"/>
  <c r="E12" i="33" s="1"/>
  <c r="F16" i="33"/>
  <c r="I16" i="33" s="1"/>
  <c r="L16" i="33" s="1"/>
  <c r="F8" i="25"/>
  <c r="I8" i="25" s="1"/>
  <c r="L8" i="25" s="1"/>
  <c r="C8" i="26" s="1"/>
  <c r="L5" i="4"/>
  <c r="K3" i="14" s="1"/>
  <c r="F25" i="23"/>
  <c r="H19" i="31"/>
  <c r="K19" i="31" s="1"/>
  <c r="N19" i="31" s="1"/>
  <c r="E19" i="32" s="1"/>
  <c r="F10" i="31"/>
  <c r="I10" i="31" s="1"/>
  <c r="L10" i="31" s="1"/>
  <c r="C10" i="32" s="1"/>
  <c r="G13" i="32"/>
  <c r="J13" i="32" s="1"/>
  <c r="M13" i="32" s="1"/>
  <c r="D13" i="33" s="1"/>
  <c r="B13" i="32"/>
  <c r="D14" i="23"/>
  <c r="B19" i="30"/>
  <c r="H7" i="30"/>
  <c r="K7" i="30" s="1"/>
  <c r="N7" i="30" s="1"/>
  <c r="E7" i="31" s="1"/>
  <c r="B11" i="32"/>
  <c r="B14" i="22"/>
  <c r="N23" i="22"/>
  <c r="J10" i="4"/>
  <c r="I4" i="14" s="1"/>
  <c r="L18" i="22"/>
  <c r="C18" i="23" s="1"/>
  <c r="I23" i="22"/>
  <c r="K26" i="18"/>
  <c r="K25" i="19"/>
  <c r="L23" i="18"/>
  <c r="V4" i="15"/>
  <c r="W25" i="15"/>
  <c r="V15" i="15"/>
  <c r="Q25" i="15"/>
  <c r="B25" i="15"/>
  <c r="E28" i="15"/>
  <c r="I28" i="15"/>
  <c r="M28" i="15"/>
  <c r="F28" i="15"/>
  <c r="J28" i="15"/>
  <c r="N28" i="15"/>
  <c r="C28" i="15"/>
  <c r="G28" i="15"/>
  <c r="K28" i="15"/>
  <c r="D28" i="15"/>
  <c r="H28" i="15"/>
  <c r="L28" i="15"/>
  <c r="V7" i="15"/>
  <c r="C6" i="14"/>
  <c r="B3" i="21" s="1"/>
  <c r="D6" i="14"/>
  <c r="E6" i="14"/>
  <c r="F6" i="14"/>
  <c r="B6" i="14"/>
  <c r="L6" i="28" l="1"/>
  <c r="C6" i="29" s="1"/>
  <c r="F6" i="29" s="1"/>
  <c r="I6" i="29" s="1"/>
  <c r="B16" i="33"/>
  <c r="B17" i="32"/>
  <c r="B12" i="32"/>
  <c r="H7" i="31"/>
  <c r="K7" i="31" s="1"/>
  <c r="N7" i="31" s="1"/>
  <c r="E7" i="32" s="1"/>
  <c r="E14" i="23"/>
  <c r="D23" i="23"/>
  <c r="H19" i="32"/>
  <c r="K19" i="32" s="1"/>
  <c r="N19" i="32" s="1"/>
  <c r="E19" i="33" s="1"/>
  <c r="L13" i="4"/>
  <c r="N25" i="23"/>
  <c r="G17" i="33"/>
  <c r="J17" i="33" s="1"/>
  <c r="M17" i="33" s="1"/>
  <c r="L8" i="4"/>
  <c r="K4" i="14" s="1"/>
  <c r="I25" i="23"/>
  <c r="F10" i="32"/>
  <c r="I10" i="32" s="1"/>
  <c r="L10" i="32" s="1"/>
  <c r="C10" i="33" s="1"/>
  <c r="B10" i="32"/>
  <c r="F8" i="26"/>
  <c r="I8" i="26" s="1"/>
  <c r="L8" i="26" s="1"/>
  <c r="C8" i="27" s="1"/>
  <c r="B10" i="31"/>
  <c r="H12" i="33"/>
  <c r="K12" i="33" s="1"/>
  <c r="N12" i="33" s="1"/>
  <c r="F18" i="23"/>
  <c r="I18" i="23" s="1"/>
  <c r="L18" i="23" s="1"/>
  <c r="C18" i="24" s="1"/>
  <c r="B6" i="28"/>
  <c r="B7" i="30"/>
  <c r="C23" i="23"/>
  <c r="G13" i="33"/>
  <c r="J13" i="33" s="1"/>
  <c r="M13" i="33" s="1"/>
  <c r="B19" i="31"/>
  <c r="B8" i="25"/>
  <c r="D3" i="26"/>
  <c r="J11" i="4"/>
  <c r="B18" i="22"/>
  <c r="B23" i="22" s="1"/>
  <c r="L23" i="22"/>
  <c r="E7" i="14"/>
  <c r="B5" i="21"/>
  <c r="B7" i="14"/>
  <c r="B2" i="21"/>
  <c r="D7" i="14"/>
  <c r="B4" i="21"/>
  <c r="L26" i="18"/>
  <c r="L25" i="19"/>
  <c r="G7" i="14"/>
  <c r="M23" i="18"/>
  <c r="T25" i="15"/>
  <c r="B28" i="15"/>
  <c r="C7" i="14"/>
  <c r="F7" i="14"/>
  <c r="V25" i="15"/>
  <c r="L6" i="29" l="1"/>
  <c r="C6" i="30" s="1"/>
  <c r="F6" i="30" s="1"/>
  <c r="I6" i="30" s="1"/>
  <c r="B18" i="23"/>
  <c r="B8" i="26"/>
  <c r="B6" i="29"/>
  <c r="B17" i="33"/>
  <c r="B19" i="32"/>
  <c r="B7" i="31"/>
  <c r="B13" i="33"/>
  <c r="G3" i="26"/>
  <c r="H19" i="33"/>
  <c r="K19" i="33" s="1"/>
  <c r="N19" i="33" s="1"/>
  <c r="H7" i="32"/>
  <c r="K7" i="32" s="1"/>
  <c r="N7" i="32" s="1"/>
  <c r="E7" i="33" s="1"/>
  <c r="F14" i="23"/>
  <c r="E23" i="23"/>
  <c r="L11" i="4"/>
  <c r="K5" i="14" s="1"/>
  <c r="K6" i="14" s="1"/>
  <c r="L25" i="23"/>
  <c r="B25" i="23" s="1"/>
  <c r="F10" i="33"/>
  <c r="I10" i="33" s="1"/>
  <c r="L10" i="33" s="1"/>
  <c r="C26" i="23"/>
  <c r="C25" i="24"/>
  <c r="F18" i="24"/>
  <c r="I18" i="24" s="1"/>
  <c r="L18" i="24" s="1"/>
  <c r="C18" i="25" s="1"/>
  <c r="B12" i="33"/>
  <c r="F8" i="27"/>
  <c r="I8" i="27" s="1"/>
  <c r="L8" i="27" s="1"/>
  <c r="C8" i="28" s="1"/>
  <c r="F8" i="28" s="1"/>
  <c r="I8" i="28" s="1"/>
  <c r="L8" i="28" s="1"/>
  <c r="D26" i="23"/>
  <c r="D25" i="24"/>
  <c r="J12" i="4"/>
  <c r="V23" i="22"/>
  <c r="B11" i="21"/>
  <c r="E11" i="21" s="1"/>
  <c r="M26" i="18"/>
  <c r="M25" i="19"/>
  <c r="N23" i="18"/>
  <c r="B4" i="18"/>
  <c r="B23" i="18" s="1"/>
  <c r="B9" i="21" s="1"/>
  <c r="E9" i="21" s="1"/>
  <c r="E23" i="13"/>
  <c r="F5" i="13" s="1"/>
  <c r="C23" i="13"/>
  <c r="H22" i="13"/>
  <c r="H17" i="13"/>
  <c r="I17" i="13" s="1"/>
  <c r="H2" i="13"/>
  <c r="I2" i="13" s="1"/>
  <c r="H4" i="13"/>
  <c r="I4" i="13" s="1"/>
  <c r="H13" i="13"/>
  <c r="I13" i="13" s="1"/>
  <c r="H16" i="13"/>
  <c r="I16" i="13" s="1"/>
  <c r="H3" i="13"/>
  <c r="I3" i="13" s="1"/>
  <c r="H18" i="13"/>
  <c r="I18" i="13" s="1"/>
  <c r="H20" i="13"/>
  <c r="I20" i="13" s="1"/>
  <c r="H6" i="13"/>
  <c r="I6" i="13" s="1"/>
  <c r="H8" i="13"/>
  <c r="I8" i="13" s="1"/>
  <c r="H10" i="13"/>
  <c r="I10" i="13" s="1"/>
  <c r="H11" i="13"/>
  <c r="L6" i="30" l="1"/>
  <c r="C6" i="31" s="1"/>
  <c r="F6" i="31" s="1"/>
  <c r="I6" i="31" s="1"/>
  <c r="B6" i="30"/>
  <c r="B7" i="32"/>
  <c r="B8" i="28"/>
  <c r="C8" i="29"/>
  <c r="F8" i="29" s="1"/>
  <c r="I8" i="29" s="1"/>
  <c r="L8" i="29" s="1"/>
  <c r="H7" i="33"/>
  <c r="K7" i="33" s="1"/>
  <c r="N7" i="33" s="1"/>
  <c r="L14" i="4"/>
  <c r="L16" i="4" s="1"/>
  <c r="B18" i="24"/>
  <c r="B10" i="33"/>
  <c r="E26" i="23"/>
  <c r="E25" i="24"/>
  <c r="B19" i="33"/>
  <c r="J3" i="26"/>
  <c r="B8" i="27"/>
  <c r="F18" i="25"/>
  <c r="I18" i="25" s="1"/>
  <c r="L18" i="25" s="1"/>
  <c r="C18" i="26" s="1"/>
  <c r="G14" i="23"/>
  <c r="F23" i="23"/>
  <c r="B12" i="2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J13" i="4"/>
  <c r="D9" i="13"/>
  <c r="D5" i="13"/>
  <c r="F14" i="13"/>
  <c r="F9" i="13"/>
  <c r="D7" i="13"/>
  <c r="D14" i="13"/>
  <c r="N26" i="18"/>
  <c r="N25" i="19"/>
  <c r="B25" i="19" s="1"/>
  <c r="B26" i="18"/>
  <c r="V23" i="18"/>
  <c r="C23" i="19"/>
  <c r="C25" i="22" s="1"/>
  <c r="C26" i="22" s="1"/>
  <c r="F8" i="13"/>
  <c r="F7" i="13"/>
  <c r="F15" i="13"/>
  <c r="F19" i="13"/>
  <c r="D15" i="13"/>
  <c r="D19" i="13"/>
  <c r="D12" i="13"/>
  <c r="F12" i="13"/>
  <c r="F22" i="13"/>
  <c r="D17" i="13"/>
  <c r="D11" i="13"/>
  <c r="D13" i="13"/>
  <c r="H23" i="13"/>
  <c r="I23" i="13" s="1"/>
  <c r="D3" i="13"/>
  <c r="D20" i="13"/>
  <c r="D8" i="13"/>
  <c r="D10" i="13"/>
  <c r="D6" i="13"/>
  <c r="D18" i="13"/>
  <c r="D16" i="13"/>
  <c r="D4" i="13"/>
  <c r="D2" i="13"/>
  <c r="D22" i="13"/>
  <c r="I11" i="13"/>
  <c r="F11" i="13"/>
  <c r="F10" i="13"/>
  <c r="F6" i="13"/>
  <c r="F20" i="13"/>
  <c r="F18" i="13"/>
  <c r="F3" i="13"/>
  <c r="F16" i="13"/>
  <c r="F13" i="13"/>
  <c r="F4" i="13"/>
  <c r="F2" i="13"/>
  <c r="F17" i="13"/>
  <c r="L6" i="31" l="1"/>
  <c r="C6" i="32" s="1"/>
  <c r="F6" i="32" s="1"/>
  <c r="I6" i="32" s="1"/>
  <c r="E12" i="21"/>
  <c r="B6" i="31"/>
  <c r="F18" i="26"/>
  <c r="I18" i="26" s="1"/>
  <c r="L18" i="26" s="1"/>
  <c r="C18" i="27" s="1"/>
  <c r="F26" i="23"/>
  <c r="F25" i="24"/>
  <c r="B8" i="29"/>
  <c r="C8" i="30"/>
  <c r="H14" i="23"/>
  <c r="G23" i="23"/>
  <c r="M3" i="26"/>
  <c r="B3" i="26" s="1"/>
  <c r="B18" i="25"/>
  <c r="B7" i="33"/>
  <c r="I5" i="14"/>
  <c r="I6" i="14" s="1"/>
  <c r="I7" i="14" s="1"/>
  <c r="C26" i="19"/>
  <c r="K2" i="4"/>
  <c r="D23" i="19"/>
  <c r="D25" i="22" s="1"/>
  <c r="W9" i="12"/>
  <c r="R9" i="12"/>
  <c r="T9" i="12" s="1"/>
  <c r="Q9" i="12"/>
  <c r="V9" i="12" s="1"/>
  <c r="B9" i="12"/>
  <c r="W7" i="10"/>
  <c r="R7" i="10"/>
  <c r="T7" i="10" s="1"/>
  <c r="Q7" i="10"/>
  <c r="V7" i="10" s="1"/>
  <c r="B7" i="10"/>
  <c r="L6" i="32" l="1"/>
  <c r="C6" i="33" s="1"/>
  <c r="F6" i="33" s="1"/>
  <c r="I6" i="33" s="1"/>
  <c r="L6" i="33" s="1"/>
  <c r="B6" i="32"/>
  <c r="B18" i="26"/>
  <c r="E13" i="21"/>
  <c r="F8" i="30"/>
  <c r="I8" i="30" s="1"/>
  <c r="L8" i="30" s="1"/>
  <c r="C8" i="31" s="1"/>
  <c r="G26" i="23"/>
  <c r="G25" i="24"/>
  <c r="D3" i="27"/>
  <c r="I14" i="23"/>
  <c r="H23" i="23"/>
  <c r="F18" i="27"/>
  <c r="I18" i="27" s="1"/>
  <c r="L18" i="27" s="1"/>
  <c r="C18" i="28" s="1"/>
  <c r="D26" i="22"/>
  <c r="D26" i="19"/>
  <c r="K3" i="4"/>
  <c r="E23" i="19"/>
  <c r="E25" i="22" s="1"/>
  <c r="E26" i="22" s="1"/>
  <c r="S21" i="12"/>
  <c r="D21" i="12"/>
  <c r="E21" i="12"/>
  <c r="F21" i="12"/>
  <c r="G21" i="12"/>
  <c r="H21" i="12"/>
  <c r="I21" i="12"/>
  <c r="J21" i="12"/>
  <c r="K21" i="12"/>
  <c r="L21" i="12"/>
  <c r="M21" i="12"/>
  <c r="N21" i="12"/>
  <c r="C21" i="12"/>
  <c r="W19" i="12"/>
  <c r="R19" i="12"/>
  <c r="T19" i="12" s="1"/>
  <c r="Q19" i="12"/>
  <c r="V19" i="12" s="1"/>
  <c r="B19" i="12"/>
  <c r="B15" i="10"/>
  <c r="W15" i="10"/>
  <c r="S17" i="10"/>
  <c r="R15" i="10"/>
  <c r="T15" i="10" s="1"/>
  <c r="Q15" i="10"/>
  <c r="V15" i="10" s="1"/>
  <c r="L17" i="10"/>
  <c r="K17" i="10"/>
  <c r="J17" i="10"/>
  <c r="I17" i="10"/>
  <c r="H17" i="10"/>
  <c r="G17" i="10"/>
  <c r="F17" i="10"/>
  <c r="E17" i="10"/>
  <c r="D17" i="10"/>
  <c r="C17" i="10"/>
  <c r="B18" i="27" l="1"/>
  <c r="E14" i="21"/>
  <c r="B6" i="33"/>
  <c r="B8" i="30"/>
  <c r="H26" i="23"/>
  <c r="H25" i="24"/>
  <c r="F18" i="28"/>
  <c r="I18" i="28" s="1"/>
  <c r="L18" i="28" s="1"/>
  <c r="C18" i="29" s="1"/>
  <c r="J14" i="23"/>
  <c r="I23" i="23"/>
  <c r="G3" i="27"/>
  <c r="F8" i="31"/>
  <c r="I8" i="31" s="1"/>
  <c r="L8" i="31" s="1"/>
  <c r="C8" i="32" s="1"/>
  <c r="E26" i="19"/>
  <c r="K4" i="4"/>
  <c r="J2" i="14" s="1"/>
  <c r="F23" i="19"/>
  <c r="F25" i="22" s="1"/>
  <c r="F26" i="22" s="1"/>
  <c r="N17" i="10"/>
  <c r="M17" i="10"/>
  <c r="B8" i="31" l="1"/>
  <c r="E15" i="21"/>
  <c r="B18" i="28"/>
  <c r="J3" i="27"/>
  <c r="F8" i="32"/>
  <c r="I8" i="32" s="1"/>
  <c r="L8" i="32" s="1"/>
  <c r="C8" i="33" s="1"/>
  <c r="F8" i="33" s="1"/>
  <c r="I8" i="33" s="1"/>
  <c r="L8" i="33" s="1"/>
  <c r="B8" i="33" s="1"/>
  <c r="F18" i="29"/>
  <c r="I18" i="29" s="1"/>
  <c r="L18" i="29" s="1"/>
  <c r="C18" i="30" s="1"/>
  <c r="I26" i="23"/>
  <c r="I25" i="24"/>
  <c r="K14" i="23"/>
  <c r="J23" i="23"/>
  <c r="F26" i="19"/>
  <c r="K5" i="4"/>
  <c r="G23" i="19"/>
  <c r="G25" i="22" s="1"/>
  <c r="W8" i="12"/>
  <c r="R8" i="12"/>
  <c r="T8" i="12" s="1"/>
  <c r="Q8" i="12"/>
  <c r="V8" i="12" s="1"/>
  <c r="B8" i="12"/>
  <c r="W6" i="10"/>
  <c r="R6" i="10"/>
  <c r="T6" i="10" s="1"/>
  <c r="Q6" i="10"/>
  <c r="V6" i="10" s="1"/>
  <c r="B6" i="10"/>
  <c r="E16" i="21" l="1"/>
  <c r="B18" i="29"/>
  <c r="F18" i="30"/>
  <c r="I18" i="30" s="1"/>
  <c r="L18" i="30" s="1"/>
  <c r="C18" i="31" s="1"/>
  <c r="M3" i="27"/>
  <c r="L14" i="23"/>
  <c r="K23" i="23"/>
  <c r="J26" i="23"/>
  <c r="J25" i="24"/>
  <c r="B8" i="32"/>
  <c r="G26" i="22"/>
  <c r="G26" i="19"/>
  <c r="K6" i="4"/>
  <c r="H23" i="19"/>
  <c r="H25" i="22" s="1"/>
  <c r="H26" i="22" s="1"/>
  <c r="W13" i="12"/>
  <c r="T13" i="12"/>
  <c r="Q13" i="12"/>
  <c r="V13" i="12" s="1"/>
  <c r="B13" i="12"/>
  <c r="W10" i="10"/>
  <c r="T10" i="10"/>
  <c r="Q10" i="10"/>
  <c r="V10" i="10" s="1"/>
  <c r="B10" i="10"/>
  <c r="B18" i="30" l="1"/>
  <c r="E17" i="21"/>
  <c r="B4" i="25"/>
  <c r="K26" i="23"/>
  <c r="K25" i="24"/>
  <c r="B3" i="27"/>
  <c r="D3" i="28"/>
  <c r="M14" i="23"/>
  <c r="L23" i="23"/>
  <c r="F18" i="31"/>
  <c r="I18" i="31" s="1"/>
  <c r="L18" i="31" s="1"/>
  <c r="C18" i="32" s="1"/>
  <c r="H26" i="19"/>
  <c r="K7" i="4"/>
  <c r="J3" i="14" s="1"/>
  <c r="I23" i="19"/>
  <c r="I25" i="22" s="1"/>
  <c r="I26" i="22" s="1"/>
  <c r="W17" i="12"/>
  <c r="R17" i="12"/>
  <c r="T17" i="12" s="1"/>
  <c r="Q17" i="12"/>
  <c r="V17" i="12" s="1"/>
  <c r="B17" i="12"/>
  <c r="W13" i="10"/>
  <c r="R13" i="10"/>
  <c r="T13" i="10" s="1"/>
  <c r="Q13" i="10"/>
  <c r="V13" i="10" s="1"/>
  <c r="B13" i="10"/>
  <c r="E18" i="21" l="1"/>
  <c r="B18" i="31"/>
  <c r="G3" i="28"/>
  <c r="F18" i="32"/>
  <c r="I18" i="32" s="1"/>
  <c r="L18" i="32" s="1"/>
  <c r="C18" i="33" s="1"/>
  <c r="L26" i="23"/>
  <c r="L25" i="24"/>
  <c r="N14" i="23"/>
  <c r="M23" i="23"/>
  <c r="I26" i="19"/>
  <c r="K8" i="4"/>
  <c r="J23" i="19"/>
  <c r="J25" i="22" s="1"/>
  <c r="R14" i="10"/>
  <c r="R12" i="10"/>
  <c r="R11" i="10"/>
  <c r="E19" i="21" l="1"/>
  <c r="J3" i="28"/>
  <c r="F18" i="33"/>
  <c r="I18" i="33" s="1"/>
  <c r="L18" i="33" s="1"/>
  <c r="B18" i="33" s="1"/>
  <c r="M26" i="23"/>
  <c r="M25" i="24"/>
  <c r="C14" i="24"/>
  <c r="N23" i="23"/>
  <c r="B14" i="23"/>
  <c r="B23" i="23" s="1"/>
  <c r="B18" i="32"/>
  <c r="J26" i="22"/>
  <c r="J26" i="19"/>
  <c r="K9" i="4"/>
  <c r="K23" i="19"/>
  <c r="K25" i="22" s="1"/>
  <c r="K26" i="22" s="1"/>
  <c r="W15" i="12"/>
  <c r="T15" i="12"/>
  <c r="Q15" i="12"/>
  <c r="V15" i="12" s="1"/>
  <c r="B15" i="12"/>
  <c r="W12" i="10"/>
  <c r="T12" i="10"/>
  <c r="B12" i="10"/>
  <c r="Q12" i="10"/>
  <c r="V12" i="10" s="1"/>
  <c r="E20" i="21" l="1"/>
  <c r="V23" i="23"/>
  <c r="B26" i="23"/>
  <c r="D14" i="24"/>
  <c r="C23" i="24"/>
  <c r="N26" i="23"/>
  <c r="N25" i="24"/>
  <c r="B25" i="24" s="1"/>
  <c r="M3" i="28"/>
  <c r="B3" i="28" s="1"/>
  <c r="K26" i="19"/>
  <c r="K10" i="4"/>
  <c r="J4" i="14" s="1"/>
  <c r="L23" i="19"/>
  <c r="L25" i="22" s="1"/>
  <c r="L26" i="22" s="1"/>
  <c r="W11" i="10"/>
  <c r="E21" i="21" l="1"/>
  <c r="E14" i="24"/>
  <c r="D23" i="24"/>
  <c r="D3" i="29"/>
  <c r="C26" i="24"/>
  <c r="C25" i="25"/>
  <c r="L26" i="19"/>
  <c r="K11" i="4"/>
  <c r="M23" i="19"/>
  <c r="M25" i="22" s="1"/>
  <c r="M26" i="22" s="1"/>
  <c r="W14" i="12"/>
  <c r="T14" i="12"/>
  <c r="Q14" i="12"/>
  <c r="V14" i="12" s="1"/>
  <c r="B14" i="12"/>
  <c r="E22" i="21" l="1"/>
  <c r="D26" i="24"/>
  <c r="D25" i="25"/>
  <c r="G3" i="29"/>
  <c r="F14" i="24"/>
  <c r="E23" i="24"/>
  <c r="M26" i="19"/>
  <c r="K12" i="4"/>
  <c r="N23" i="19"/>
  <c r="N25" i="22" s="1"/>
  <c r="B4" i="19"/>
  <c r="B23" i="19" s="1"/>
  <c r="B10" i="21" s="1"/>
  <c r="E10" i="21" s="1"/>
  <c r="T11" i="10"/>
  <c r="Q11" i="10"/>
  <c r="V11" i="10" s="1"/>
  <c r="B11" i="10"/>
  <c r="E23" i="21" l="1"/>
  <c r="J3" i="29"/>
  <c r="G14" i="24"/>
  <c r="F23" i="24"/>
  <c r="E26" i="24"/>
  <c r="E25" i="25"/>
  <c r="N26" i="22"/>
  <c r="B25" i="22"/>
  <c r="B26" i="22" s="1"/>
  <c r="N26" i="19"/>
  <c r="K13" i="4"/>
  <c r="J5" i="14" s="1"/>
  <c r="J6" i="14" s="1"/>
  <c r="V23" i="19"/>
  <c r="B26" i="19"/>
  <c r="B7" i="12"/>
  <c r="B23" i="12"/>
  <c r="U21" i="12"/>
  <c r="U25" i="12" s="1"/>
  <c r="N24" i="12"/>
  <c r="M24" i="12"/>
  <c r="L24" i="12"/>
  <c r="K24" i="12"/>
  <c r="J24" i="12"/>
  <c r="I24" i="12"/>
  <c r="H24" i="12"/>
  <c r="G24" i="12"/>
  <c r="F24" i="12"/>
  <c r="E24" i="12"/>
  <c r="D24" i="12"/>
  <c r="C24" i="12"/>
  <c r="W18" i="12"/>
  <c r="T18" i="12"/>
  <c r="Q18" i="12"/>
  <c r="V18" i="12" s="1"/>
  <c r="B18" i="12"/>
  <c r="W5" i="12"/>
  <c r="R5" i="12"/>
  <c r="T5" i="12" s="1"/>
  <c r="Q5" i="12"/>
  <c r="V5" i="12" s="1"/>
  <c r="B5" i="12"/>
  <c r="W11" i="12"/>
  <c r="R11" i="12"/>
  <c r="T11" i="12" s="1"/>
  <c r="Q11" i="12"/>
  <c r="V11" i="12" s="1"/>
  <c r="B11" i="12"/>
  <c r="W3" i="12"/>
  <c r="R3" i="12"/>
  <c r="T3" i="12" s="1"/>
  <c r="Q3" i="12"/>
  <c r="V3" i="12" s="1"/>
  <c r="B3" i="12"/>
  <c r="W12" i="12"/>
  <c r="R12" i="12"/>
  <c r="T12" i="12" s="1"/>
  <c r="Q12" i="12"/>
  <c r="B12" i="12"/>
  <c r="W7" i="12"/>
  <c r="R7" i="12"/>
  <c r="T7" i="12" s="1"/>
  <c r="Q7" i="12"/>
  <c r="E24" i="21" l="1"/>
  <c r="M3" i="29"/>
  <c r="H14" i="24"/>
  <c r="G23" i="24"/>
  <c r="F26" i="24"/>
  <c r="F25" i="25"/>
  <c r="J7" i="14"/>
  <c r="K7" i="14"/>
  <c r="W21" i="12"/>
  <c r="B21" i="12"/>
  <c r="V12" i="12"/>
  <c r="Q21" i="12"/>
  <c r="V7" i="12"/>
  <c r="U17" i="10"/>
  <c r="E25" i="21" l="1"/>
  <c r="G26" i="24"/>
  <c r="G25" i="25"/>
  <c r="I14" i="24"/>
  <c r="H23" i="24"/>
  <c r="B3" i="29"/>
  <c r="D3" i="30"/>
  <c r="T21" i="12"/>
  <c r="V21" i="12"/>
  <c r="B24" i="12"/>
  <c r="E26" i="21" l="1"/>
  <c r="H26" i="24"/>
  <c r="H25" i="25"/>
  <c r="G3" i="30"/>
  <c r="J14" i="24"/>
  <c r="I23" i="24"/>
  <c r="E2" i="4"/>
  <c r="W14" i="10"/>
  <c r="T14" i="10"/>
  <c r="Q14" i="10"/>
  <c r="V14" i="10" s="1"/>
  <c r="B14" i="10"/>
  <c r="E27" i="21" l="1"/>
  <c r="K14" i="24"/>
  <c r="J23" i="24"/>
  <c r="I26" i="24"/>
  <c r="I25" i="25"/>
  <c r="J3" i="30"/>
  <c r="D13" i="4"/>
  <c r="C7" i="4"/>
  <c r="E28" i="21" l="1"/>
  <c r="M3" i="30"/>
  <c r="B3" i="30" s="1"/>
  <c r="J26" i="24"/>
  <c r="J25" i="25"/>
  <c r="L14" i="24"/>
  <c r="K23" i="24"/>
  <c r="W9" i="10"/>
  <c r="W3" i="10"/>
  <c r="W8" i="10"/>
  <c r="W4" i="10"/>
  <c r="W5" i="10"/>
  <c r="E29" i="21" l="1"/>
  <c r="M14" i="24"/>
  <c r="L23" i="24"/>
  <c r="B4" i="26"/>
  <c r="K26" i="24"/>
  <c r="K25" i="25"/>
  <c r="D3" i="31"/>
  <c r="D20" i="10"/>
  <c r="E20" i="10"/>
  <c r="F20" i="10"/>
  <c r="H20" i="10"/>
  <c r="I20" i="10"/>
  <c r="J20" i="10"/>
  <c r="K20" i="10"/>
  <c r="L20" i="10"/>
  <c r="M20" i="10"/>
  <c r="C20" i="10"/>
  <c r="G20" i="10"/>
  <c r="N20" i="10"/>
  <c r="R4" i="10"/>
  <c r="T4" i="10" s="1"/>
  <c r="Q4" i="10"/>
  <c r="V4" i="10" s="1"/>
  <c r="B4" i="10"/>
  <c r="E30" i="21" l="1"/>
  <c r="G3" i="31"/>
  <c r="L26" i="24"/>
  <c r="L25" i="25"/>
  <c r="N14" i="24"/>
  <c r="M23" i="24"/>
  <c r="B19" i="10"/>
  <c r="E31" i="21" l="1"/>
  <c r="M26" i="24"/>
  <c r="M25" i="25"/>
  <c r="C14" i="25"/>
  <c r="N23" i="24"/>
  <c r="B14" i="24"/>
  <c r="B23" i="24" s="1"/>
  <c r="J3" i="31"/>
  <c r="D12" i="4"/>
  <c r="E32" i="21" l="1"/>
  <c r="B26" i="24"/>
  <c r="V23" i="24"/>
  <c r="D14" i="25"/>
  <c r="C23" i="25"/>
  <c r="M3" i="31"/>
  <c r="N26" i="24"/>
  <c r="N25" i="25"/>
  <c r="B25" i="25" s="1"/>
  <c r="O7" i="9"/>
  <c r="E33" i="21" l="1"/>
  <c r="D3" i="32"/>
  <c r="E14" i="25"/>
  <c r="D23" i="25"/>
  <c r="B3" i="31"/>
  <c r="C26" i="25"/>
  <c r="C25" i="26"/>
  <c r="N25" i="10"/>
  <c r="M25" i="10"/>
  <c r="L25" i="10"/>
  <c r="K25" i="10"/>
  <c r="J25" i="10"/>
  <c r="I25" i="10"/>
  <c r="H25" i="10"/>
  <c r="G25" i="10"/>
  <c r="F25" i="10"/>
  <c r="E25" i="10"/>
  <c r="D25" i="10"/>
  <c r="C25" i="10"/>
  <c r="B23" i="10"/>
  <c r="B25" i="10" s="1"/>
  <c r="E34" i="21" l="1"/>
  <c r="D26" i="25"/>
  <c r="D25" i="26"/>
  <c r="F14" i="25"/>
  <c r="E23" i="25"/>
  <c r="G3" i="32"/>
  <c r="R8" i="10"/>
  <c r="T8" i="10" s="1"/>
  <c r="Q8" i="10"/>
  <c r="V8" i="10" s="1"/>
  <c r="B8" i="10"/>
  <c r="R3" i="10"/>
  <c r="T3" i="10" s="1"/>
  <c r="Q3" i="10"/>
  <c r="B3" i="10"/>
  <c r="R9" i="10"/>
  <c r="Q9" i="10"/>
  <c r="B9" i="10"/>
  <c r="R5" i="10"/>
  <c r="Q5" i="10"/>
  <c r="B5" i="10"/>
  <c r="B11" i="9"/>
  <c r="S13" i="9"/>
  <c r="T11" i="9"/>
  <c r="Q11" i="9"/>
  <c r="Q13" i="9" s="1"/>
  <c r="T13" i="9" s="1"/>
  <c r="E35" i="21" l="1"/>
  <c r="E26" i="25"/>
  <c r="E25" i="26"/>
  <c r="J3" i="32"/>
  <c r="G14" i="25"/>
  <c r="F23" i="25"/>
  <c r="B17" i="10"/>
  <c r="V3" i="10"/>
  <c r="Q17" i="10"/>
  <c r="V9" i="10"/>
  <c r="V5" i="10"/>
  <c r="T5" i="10"/>
  <c r="T9" i="10"/>
  <c r="E36" i="21" l="1"/>
  <c r="F26" i="25"/>
  <c r="F25" i="26"/>
  <c r="H14" i="25"/>
  <c r="G23" i="25"/>
  <c r="M3" i="32"/>
  <c r="V17" i="10"/>
  <c r="T17" i="10"/>
  <c r="B20" i="10"/>
  <c r="D11" i="4"/>
  <c r="E37" i="21" l="1"/>
  <c r="G26" i="25"/>
  <c r="G25" i="26"/>
  <c r="I14" i="25"/>
  <c r="H23" i="25"/>
  <c r="B3" i="32"/>
  <c r="D3" i="33"/>
  <c r="S8" i="9"/>
  <c r="S15" i="9" s="1"/>
  <c r="Q5" i="9"/>
  <c r="Q7" i="9"/>
  <c r="Q3" i="9"/>
  <c r="Q6" i="9"/>
  <c r="R6" i="9"/>
  <c r="R7" i="9"/>
  <c r="R3" i="9"/>
  <c r="T3" i="9" s="1"/>
  <c r="R4" i="9"/>
  <c r="T4" i="9" s="1"/>
  <c r="E38" i="21" l="1"/>
  <c r="G3" i="33"/>
  <c r="J14" i="25"/>
  <c r="I23" i="25"/>
  <c r="H26" i="25"/>
  <c r="H25" i="26"/>
  <c r="Q4" i="9"/>
  <c r="Q8" i="9" s="1"/>
  <c r="T7" i="9"/>
  <c r="T6" i="9"/>
  <c r="B6" i="9"/>
  <c r="N13" i="9"/>
  <c r="M13" i="9"/>
  <c r="L13" i="9"/>
  <c r="K13" i="9"/>
  <c r="J13" i="9"/>
  <c r="I13" i="9"/>
  <c r="H13" i="9"/>
  <c r="G13" i="9"/>
  <c r="F13" i="9"/>
  <c r="E13" i="9"/>
  <c r="D13" i="9"/>
  <c r="C13" i="9"/>
  <c r="N8" i="9"/>
  <c r="M8" i="9"/>
  <c r="L8" i="9"/>
  <c r="K8" i="9"/>
  <c r="J8" i="9"/>
  <c r="I8" i="9"/>
  <c r="H8" i="9"/>
  <c r="G8" i="9"/>
  <c r="F8" i="9"/>
  <c r="E8" i="9"/>
  <c r="D8" i="9"/>
  <c r="C8" i="9"/>
  <c r="B7" i="9"/>
  <c r="B5" i="9"/>
  <c r="B4" i="9"/>
  <c r="B3" i="9"/>
  <c r="B6" i="7"/>
  <c r="B7" i="7"/>
  <c r="C14" i="7"/>
  <c r="D14" i="7"/>
  <c r="E14" i="7"/>
  <c r="F14" i="7"/>
  <c r="G14" i="7"/>
  <c r="H14" i="7"/>
  <c r="I14" i="7"/>
  <c r="J14" i="7"/>
  <c r="K14" i="7"/>
  <c r="L14" i="7"/>
  <c r="M14" i="7"/>
  <c r="N14" i="7"/>
  <c r="C8" i="7"/>
  <c r="D8" i="7"/>
  <c r="E8" i="7"/>
  <c r="F8" i="7"/>
  <c r="G8" i="7"/>
  <c r="H8" i="7"/>
  <c r="I8" i="7"/>
  <c r="J8" i="7"/>
  <c r="J16" i="7" s="1"/>
  <c r="K8" i="7"/>
  <c r="K16" i="7" s="1"/>
  <c r="L8" i="7"/>
  <c r="L16" i="7" s="1"/>
  <c r="M8" i="7"/>
  <c r="M16" i="7" s="1"/>
  <c r="N8" i="7"/>
  <c r="N16" i="7" s="1"/>
  <c r="B4" i="7"/>
  <c r="B5" i="7"/>
  <c r="B11" i="7"/>
  <c r="B12" i="7"/>
  <c r="B13" i="7"/>
  <c r="B3" i="7"/>
  <c r="E39" i="21" l="1"/>
  <c r="K14" i="25"/>
  <c r="J23" i="25"/>
  <c r="J3" i="33"/>
  <c r="I26" i="25"/>
  <c r="I25" i="26"/>
  <c r="T8" i="9"/>
  <c r="Q15" i="9"/>
  <c r="T15" i="9" s="1"/>
  <c r="F15" i="9"/>
  <c r="I16" i="7"/>
  <c r="J15" i="9"/>
  <c r="J18" i="9" s="1"/>
  <c r="N15" i="9"/>
  <c r="N18" i="9" s="1"/>
  <c r="B8" i="9"/>
  <c r="E15" i="9"/>
  <c r="I15" i="9"/>
  <c r="I18" i="9" s="1"/>
  <c r="M15" i="9"/>
  <c r="M18" i="9" s="1"/>
  <c r="C15" i="9"/>
  <c r="G15" i="9"/>
  <c r="K15" i="9"/>
  <c r="K18" i="9" s="1"/>
  <c r="D15" i="9"/>
  <c r="D18" i="9" s="1"/>
  <c r="H15" i="9"/>
  <c r="H18" i="9" s="1"/>
  <c r="L15" i="9"/>
  <c r="L18" i="9" s="1"/>
  <c r="B13" i="9"/>
  <c r="H16" i="7"/>
  <c r="E16" i="7"/>
  <c r="G16" i="7"/>
  <c r="F16" i="7"/>
  <c r="D16" i="7"/>
  <c r="B8" i="7"/>
  <c r="C16" i="7"/>
  <c r="B14" i="7"/>
  <c r="D10" i="4"/>
  <c r="E40" i="21" l="1"/>
  <c r="J26" i="25"/>
  <c r="J25" i="26"/>
  <c r="M3" i="33"/>
  <c r="L14" i="25"/>
  <c r="K23" i="25"/>
  <c r="B15" i="9"/>
  <c r="B16" i="7"/>
  <c r="A16" i="7" s="1"/>
  <c r="E41" i="21" l="1"/>
  <c r="E42" i="21"/>
  <c r="K26" i="25"/>
  <c r="K25" i="26"/>
  <c r="M14" i="25"/>
  <c r="L23" i="25"/>
  <c r="B3" i="33"/>
  <c r="B4" i="27"/>
  <c r="B18" i="9"/>
  <c r="A15" i="9"/>
  <c r="D9" i="4"/>
  <c r="L26" i="25" l="1"/>
  <c r="L25" i="26"/>
  <c r="N14" i="25"/>
  <c r="M23" i="25"/>
  <c r="B14" i="4"/>
  <c r="M26" i="25" l="1"/>
  <c r="M25" i="26"/>
  <c r="C14" i="26"/>
  <c r="N23" i="25"/>
  <c r="B14" i="25"/>
  <c r="B23" i="25" s="1"/>
  <c r="E14" i="4"/>
  <c r="E16" i="4" s="1"/>
  <c r="F14" i="4"/>
  <c r="F16" i="4" s="1"/>
  <c r="G14" i="4"/>
  <c r="G16" i="4" s="1"/>
  <c r="H14" i="4"/>
  <c r="H16" i="4" s="1"/>
  <c r="I14" i="4"/>
  <c r="I16" i="4" s="1"/>
  <c r="J14" i="4"/>
  <c r="J16" i="4" s="1"/>
  <c r="K14" i="4"/>
  <c r="K16" i="4" s="1"/>
  <c r="L17" i="4" s="1"/>
  <c r="C14" i="4"/>
  <c r="C16" i="4" s="1"/>
  <c r="D14" i="4"/>
  <c r="D16" i="4" s="1"/>
  <c r="D14" i="26" l="1"/>
  <c r="C23" i="26"/>
  <c r="N26" i="25"/>
  <c r="N25" i="26"/>
  <c r="B25" i="26" s="1"/>
  <c r="B26" i="25"/>
  <c r="V23" i="25"/>
  <c r="K17" i="4"/>
  <c r="J17" i="4"/>
  <c r="I17" i="4"/>
  <c r="D17" i="4"/>
  <c r="H17" i="4"/>
  <c r="G17" i="4"/>
  <c r="E17" i="4"/>
  <c r="F17" i="4"/>
  <c r="Q23" i="16"/>
  <c r="C26" i="26" l="1"/>
  <c r="C25" i="27"/>
  <c r="E14" i="26"/>
  <c r="D23" i="26"/>
  <c r="T23" i="16"/>
  <c r="D26" i="26" l="1"/>
  <c r="D25" i="27"/>
  <c r="F14" i="26"/>
  <c r="E23" i="26"/>
  <c r="E26" i="26" l="1"/>
  <c r="E25" i="27"/>
  <c r="G14" i="26"/>
  <c r="F23" i="26"/>
  <c r="F26" i="26" l="1"/>
  <c r="F25" i="27"/>
  <c r="H14" i="26"/>
  <c r="G23" i="26"/>
  <c r="G26" i="26" l="1"/>
  <c r="G25" i="27"/>
  <c r="I14" i="26"/>
  <c r="H23" i="26"/>
  <c r="H26" i="26" l="1"/>
  <c r="H25" i="27"/>
  <c r="J14" i="26"/>
  <c r="I23" i="26"/>
  <c r="I26" i="26" l="1"/>
  <c r="I25" i="27"/>
  <c r="K14" i="26"/>
  <c r="J23" i="26"/>
  <c r="J26" i="26" l="1"/>
  <c r="J25" i="27"/>
  <c r="L14" i="26"/>
  <c r="K23" i="26"/>
  <c r="K26" i="26" l="1"/>
  <c r="K25" i="27"/>
  <c r="M14" i="26"/>
  <c r="L23" i="26"/>
  <c r="B4" i="28"/>
  <c r="L26" i="26" l="1"/>
  <c r="L25" i="27"/>
  <c r="N14" i="26"/>
  <c r="M23" i="26"/>
  <c r="C14" i="27" l="1"/>
  <c r="N23" i="26"/>
  <c r="B14" i="26"/>
  <c r="B23" i="26" s="1"/>
  <c r="M26" i="26"/>
  <c r="M25" i="27"/>
  <c r="B26" i="26" l="1"/>
  <c r="V23" i="26"/>
  <c r="N26" i="26"/>
  <c r="N25" i="27"/>
  <c r="B25" i="27" s="1"/>
  <c r="D14" i="27"/>
  <c r="C23" i="27"/>
  <c r="C26" i="27" l="1"/>
  <c r="C25" i="28"/>
  <c r="E14" i="27"/>
  <c r="D23" i="27"/>
  <c r="D26" i="27" l="1"/>
  <c r="D25" i="28"/>
  <c r="F14" i="27"/>
  <c r="E23" i="27"/>
  <c r="E26" i="27" l="1"/>
  <c r="E25" i="28"/>
  <c r="G14" i="27"/>
  <c r="F23" i="27"/>
  <c r="F26" i="27" l="1"/>
  <c r="F25" i="28"/>
  <c r="H14" i="27"/>
  <c r="G23" i="27"/>
  <c r="G26" i="27" l="1"/>
  <c r="G25" i="28"/>
  <c r="I14" i="27"/>
  <c r="H23" i="27"/>
  <c r="J14" i="27" l="1"/>
  <c r="I23" i="27"/>
  <c r="H26" i="27"/>
  <c r="H25" i="28"/>
  <c r="I26" i="27" l="1"/>
  <c r="I25" i="28"/>
  <c r="K14" i="27"/>
  <c r="J23" i="27"/>
  <c r="J26" i="27" l="1"/>
  <c r="J25" i="28"/>
  <c r="L14" i="27"/>
  <c r="K23" i="27"/>
  <c r="K26" i="27" l="1"/>
  <c r="K25" i="28"/>
  <c r="M14" i="27"/>
  <c r="L23" i="27"/>
  <c r="B4" i="29"/>
  <c r="L26" i="27" l="1"/>
  <c r="L25" i="28"/>
  <c r="N14" i="27"/>
  <c r="M23" i="27"/>
  <c r="M26" i="27" l="1"/>
  <c r="M25" i="28"/>
  <c r="C14" i="28"/>
  <c r="N23" i="27"/>
  <c r="B14" i="27"/>
  <c r="B23" i="27" s="1"/>
  <c r="N26" i="27" l="1"/>
  <c r="N25" i="28"/>
  <c r="B25" i="28" s="1"/>
  <c r="D14" i="28"/>
  <c r="C23" i="28"/>
  <c r="B26" i="27"/>
  <c r="V23" i="27"/>
  <c r="E14" i="28" l="1"/>
  <c r="D23" i="28"/>
  <c r="C26" i="28"/>
  <c r="C25" i="29"/>
  <c r="D26" i="28" l="1"/>
  <c r="D25" i="29"/>
  <c r="F14" i="28"/>
  <c r="E23" i="28"/>
  <c r="E26" i="28" l="1"/>
  <c r="E25" i="29"/>
  <c r="G14" i="28"/>
  <c r="F23" i="28"/>
  <c r="F26" i="28" l="1"/>
  <c r="F25" i="29"/>
  <c r="H14" i="28"/>
  <c r="G23" i="28"/>
  <c r="G26" i="28" l="1"/>
  <c r="G25" i="29"/>
  <c r="I14" i="28"/>
  <c r="H23" i="28"/>
  <c r="H26" i="28" l="1"/>
  <c r="H25" i="29"/>
  <c r="J14" i="28"/>
  <c r="I23" i="28"/>
  <c r="I26" i="28" l="1"/>
  <c r="I25" i="29"/>
  <c r="K14" i="28"/>
  <c r="J23" i="28"/>
  <c r="J26" i="28" l="1"/>
  <c r="J25" i="29"/>
  <c r="L14" i="28"/>
  <c r="K23" i="28"/>
  <c r="K26" i="28" l="1"/>
  <c r="K25" i="29"/>
  <c r="M14" i="28"/>
  <c r="L23" i="28"/>
  <c r="B4" i="30"/>
  <c r="L26" i="28" l="1"/>
  <c r="L25" i="29"/>
  <c r="N14" i="28"/>
  <c r="M23" i="28"/>
  <c r="C14" i="29" l="1"/>
  <c r="N23" i="28"/>
  <c r="B14" i="28"/>
  <c r="B23" i="28" s="1"/>
  <c r="M26" i="28"/>
  <c r="M25" i="29"/>
  <c r="B26" i="28" l="1"/>
  <c r="V23" i="28"/>
  <c r="N26" i="28"/>
  <c r="N25" i="29"/>
  <c r="B25" i="29" s="1"/>
  <c r="D14" i="29"/>
  <c r="C23" i="29"/>
  <c r="E14" i="29" l="1"/>
  <c r="D23" i="29"/>
  <c r="C26" i="29"/>
  <c r="C25" i="30"/>
  <c r="D26" i="29" l="1"/>
  <c r="D25" i="30"/>
  <c r="F14" i="29"/>
  <c r="E23" i="29"/>
  <c r="E26" i="29" l="1"/>
  <c r="E25" i="30"/>
  <c r="G14" i="29"/>
  <c r="F23" i="29"/>
  <c r="H14" i="29" l="1"/>
  <c r="G23" i="29"/>
  <c r="F26" i="29"/>
  <c r="F25" i="30"/>
  <c r="G26" i="29" l="1"/>
  <c r="G25" i="30"/>
  <c r="I14" i="29"/>
  <c r="H23" i="29"/>
  <c r="H26" i="29" l="1"/>
  <c r="H25" i="30"/>
  <c r="J14" i="29"/>
  <c r="I23" i="29"/>
  <c r="I26" i="29" l="1"/>
  <c r="I25" i="30"/>
  <c r="K14" i="29"/>
  <c r="J23" i="29"/>
  <c r="J26" i="29" l="1"/>
  <c r="J25" i="30"/>
  <c r="L14" i="29"/>
  <c r="K23" i="29"/>
  <c r="K26" i="29" l="1"/>
  <c r="K25" i="30"/>
  <c r="M14" i="29"/>
  <c r="L23" i="29"/>
  <c r="B4" i="31"/>
  <c r="L26" i="29" l="1"/>
  <c r="L25" i="30"/>
  <c r="N14" i="29"/>
  <c r="M23" i="29"/>
  <c r="C14" i="30" l="1"/>
  <c r="N23" i="29"/>
  <c r="B14" i="29"/>
  <c r="B23" i="29" s="1"/>
  <c r="M26" i="29"/>
  <c r="M25" i="30"/>
  <c r="B26" i="29" l="1"/>
  <c r="V23" i="29"/>
  <c r="N26" i="29"/>
  <c r="N25" i="30"/>
  <c r="B25" i="30" s="1"/>
  <c r="D14" i="30"/>
  <c r="C23" i="30"/>
  <c r="C26" i="30" l="1"/>
  <c r="C25" i="31"/>
  <c r="E14" i="30"/>
  <c r="D23" i="30"/>
  <c r="D26" i="30" l="1"/>
  <c r="D25" i="31"/>
  <c r="F14" i="30"/>
  <c r="E23" i="30"/>
  <c r="E26" i="30" l="1"/>
  <c r="E25" i="31"/>
  <c r="G14" i="30"/>
  <c r="F23" i="30"/>
  <c r="F26" i="30" l="1"/>
  <c r="F25" i="31"/>
  <c r="H14" i="30"/>
  <c r="G23" i="30"/>
  <c r="G26" i="30" l="1"/>
  <c r="G25" i="31"/>
  <c r="I14" i="30"/>
  <c r="H23" i="30"/>
  <c r="H26" i="30" l="1"/>
  <c r="H25" i="31"/>
  <c r="J14" i="30"/>
  <c r="I23" i="30"/>
  <c r="I26" i="30" l="1"/>
  <c r="I25" i="31"/>
  <c r="K14" i="30"/>
  <c r="J23" i="30"/>
  <c r="J26" i="30" l="1"/>
  <c r="J25" i="31"/>
  <c r="L14" i="30"/>
  <c r="K23" i="30"/>
  <c r="K26" i="30" l="1"/>
  <c r="K25" i="31"/>
  <c r="M14" i="30"/>
  <c r="L23" i="30"/>
  <c r="B4" i="32"/>
  <c r="N14" i="30" l="1"/>
  <c r="M23" i="30"/>
  <c r="L26" i="30"/>
  <c r="L25" i="31"/>
  <c r="M26" i="30" l="1"/>
  <c r="M25" i="31"/>
  <c r="C14" i="31"/>
  <c r="N23" i="30"/>
  <c r="B14" i="30"/>
  <c r="B23" i="30" s="1"/>
  <c r="B26" i="30" l="1"/>
  <c r="V23" i="30"/>
  <c r="N26" i="30"/>
  <c r="N25" i="31"/>
  <c r="B25" i="31" s="1"/>
  <c r="D14" i="31"/>
  <c r="C23" i="31"/>
  <c r="C26" i="31" l="1"/>
  <c r="C25" i="32"/>
  <c r="E14" i="31"/>
  <c r="D23" i="31"/>
  <c r="D26" i="31" l="1"/>
  <c r="D25" i="32"/>
  <c r="F14" i="31"/>
  <c r="E23" i="31"/>
  <c r="E26" i="31" l="1"/>
  <c r="E25" i="32"/>
  <c r="G14" i="31"/>
  <c r="F23" i="31"/>
  <c r="F26" i="31" l="1"/>
  <c r="F25" i="32"/>
  <c r="H14" i="31"/>
  <c r="G23" i="31"/>
  <c r="G26" i="31" l="1"/>
  <c r="G25" i="32"/>
  <c r="I14" i="31"/>
  <c r="H23" i="31"/>
  <c r="H26" i="31" l="1"/>
  <c r="H25" i="32"/>
  <c r="J14" i="31"/>
  <c r="I23" i="31"/>
  <c r="I26" i="31" l="1"/>
  <c r="I25" i="32"/>
  <c r="K14" i="31"/>
  <c r="J23" i="31"/>
  <c r="L14" i="31" l="1"/>
  <c r="K23" i="31"/>
  <c r="J26" i="31"/>
  <c r="J25" i="32"/>
  <c r="K26" i="31" l="1"/>
  <c r="K25" i="32"/>
  <c r="B4" i="33"/>
  <c r="M14" i="31"/>
  <c r="L23" i="31"/>
  <c r="L26" i="31" l="1"/>
  <c r="L25" i="32"/>
  <c r="N14" i="31"/>
  <c r="M23" i="31"/>
  <c r="C14" i="32" l="1"/>
  <c r="N23" i="31"/>
  <c r="B14" i="31"/>
  <c r="B23" i="31" s="1"/>
  <c r="M26" i="31"/>
  <c r="M25" i="32"/>
  <c r="N26" i="31" l="1"/>
  <c r="N25" i="32"/>
  <c r="B25" i="32" s="1"/>
  <c r="V23" i="31"/>
  <c r="B26" i="31"/>
  <c r="D14" i="32"/>
  <c r="C23" i="32"/>
  <c r="C26" i="32" l="1"/>
  <c r="C25" i="33"/>
  <c r="E14" i="32"/>
  <c r="D23" i="32"/>
  <c r="D26" i="32" l="1"/>
  <c r="D25" i="33"/>
  <c r="F14" i="32"/>
  <c r="E23" i="32"/>
  <c r="G14" i="32" l="1"/>
  <c r="F23" i="32"/>
  <c r="E26" i="32"/>
  <c r="E25" i="33"/>
  <c r="F26" i="32" l="1"/>
  <c r="F25" i="33"/>
  <c r="H14" i="32"/>
  <c r="G23" i="32"/>
  <c r="I14" i="32" l="1"/>
  <c r="H23" i="32"/>
  <c r="G26" i="32"/>
  <c r="G25" i="33"/>
  <c r="H26" i="32" l="1"/>
  <c r="H25" i="33"/>
  <c r="J14" i="32"/>
  <c r="I23" i="32"/>
  <c r="K14" i="32" l="1"/>
  <c r="J23" i="32"/>
  <c r="I26" i="32"/>
  <c r="I25" i="33"/>
  <c r="J26" i="32" l="1"/>
  <c r="J25" i="33"/>
  <c r="L14" i="32"/>
  <c r="K23" i="32"/>
  <c r="M14" i="32" l="1"/>
  <c r="L23" i="32"/>
  <c r="K26" i="32"/>
  <c r="K25" i="33"/>
  <c r="L26" i="32" l="1"/>
  <c r="L25" i="33"/>
  <c r="N14" i="32"/>
  <c r="M23" i="32"/>
  <c r="C14" i="33" l="1"/>
  <c r="N23" i="32"/>
  <c r="B14" i="32"/>
  <c r="B23" i="32" s="1"/>
  <c r="M26" i="32"/>
  <c r="M25" i="33"/>
  <c r="B26" i="32" l="1"/>
  <c r="V23" i="32"/>
  <c r="N26" i="32"/>
  <c r="N25" i="33"/>
  <c r="B25" i="33" s="1"/>
  <c r="D14" i="33"/>
  <c r="C23" i="33"/>
  <c r="C26" i="33" s="1"/>
  <c r="E14" i="33" l="1"/>
  <c r="D23" i="33"/>
  <c r="D26" i="33" s="1"/>
  <c r="F14" i="33" l="1"/>
  <c r="E23" i="33"/>
  <c r="E26" i="33" s="1"/>
  <c r="G14" i="33" l="1"/>
  <c r="F23" i="33"/>
  <c r="F26" i="33" s="1"/>
  <c r="H14" i="33" l="1"/>
  <c r="G23" i="33"/>
  <c r="G26" i="33" s="1"/>
  <c r="I14" i="33" l="1"/>
  <c r="H23" i="33"/>
  <c r="H26" i="33" s="1"/>
  <c r="J14" i="33" l="1"/>
  <c r="I23" i="33"/>
  <c r="I26" i="33" s="1"/>
  <c r="K14" i="33" l="1"/>
  <c r="J23" i="33"/>
  <c r="J26" i="33" s="1"/>
  <c r="L14" i="33" l="1"/>
  <c r="K23" i="33"/>
  <c r="K26" i="33" s="1"/>
  <c r="M14" i="33" l="1"/>
  <c r="L23" i="33"/>
  <c r="L26" i="33" s="1"/>
  <c r="N14" i="33" l="1"/>
  <c r="M23" i="33"/>
  <c r="M26" i="33" s="1"/>
  <c r="N23" i="33" l="1"/>
  <c r="N26" i="33" s="1"/>
  <c r="B14" i="33"/>
  <c r="B23" i="33" s="1"/>
  <c r="B26" i="33" l="1"/>
  <c r="V23" i="33"/>
</calcChain>
</file>

<file path=xl/sharedStrings.xml><?xml version="1.0" encoding="utf-8"?>
<sst xmlns="http://schemas.openxmlformats.org/spreadsheetml/2006/main" count="963" uniqueCount="109">
  <si>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</si>
  <si>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</si>
  <si>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</si>
  <si>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</si>
  <si>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</si>
  <si>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</si>
  <si>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</si>
  <si>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</si>
  <si>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</si>
  <si>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</si>
  <si>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</si>
  <si>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</si>
  <si>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</si>
  <si>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 Month</t>
  </si>
  <si>
    <t>Total</t>
  </si>
  <si>
    <t>Rollover IRA</t>
  </si>
  <si>
    <t>Roth IRA</t>
  </si>
  <si>
    <t>T</t>
  </si>
  <si>
    <t>F</t>
  </si>
  <si>
    <t>FTR</t>
  </si>
  <si>
    <t>CHK</t>
  </si>
  <si>
    <t>NGG</t>
  </si>
  <si>
    <t>O</t>
  </si>
  <si>
    <t>INTC</t>
  </si>
  <si>
    <t>ARR</t>
  </si>
  <si>
    <t>KMP</t>
  </si>
  <si>
    <t># Shares</t>
  </si>
  <si>
    <t>Cost Basis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</si>
  <si>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</si>
  <si>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</si>
  <si>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</si>
  <si>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</si>
  <si>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</si>
  <si>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</si>
  <si>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</si>
  <si>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</si>
  <si>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</si>
  <si>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Per Share</t>
  </si>
  <si>
    <t>Total Div</t>
  </si>
  <si>
    <t>Div/Share</t>
  </si>
  <si>
    <t>% change</t>
  </si>
  <si>
    <t>BP</t>
  </si>
  <si>
    <t>Nov (P)</t>
  </si>
  <si>
    <t>Dec (P)</t>
  </si>
  <si>
    <t>(P)</t>
  </si>
  <si>
    <t>Projected</t>
  </si>
  <si>
    <t>Jan (P)</t>
  </si>
  <si>
    <t>Feb (P)</t>
  </si>
  <si>
    <t>Mar (P)</t>
  </si>
  <si>
    <t>Apr (P)</t>
  </si>
  <si>
    <t>May (P)</t>
  </si>
  <si>
    <t>Jun (P)</t>
  </si>
  <si>
    <t>Jul (P)</t>
  </si>
  <si>
    <t>Aug (P)</t>
  </si>
  <si>
    <t>Sep (P)</t>
  </si>
  <si>
    <t>Oct (P)</t>
  </si>
  <si>
    <t>Brokerage Account</t>
  </si>
  <si>
    <t>Cost</t>
  </si>
  <si>
    <t>FMV</t>
  </si>
  <si>
    <t>Cash</t>
  </si>
  <si>
    <t>Retirement Accounts</t>
  </si>
  <si>
    <t>Nov</t>
  </si>
  <si>
    <t>Current Yield</t>
  </si>
  <si>
    <t>Dec</t>
  </si>
  <si>
    <t>YOC</t>
  </si>
  <si>
    <t>Current Value</t>
  </si>
  <si>
    <t>Total Gain</t>
  </si>
  <si>
    <t>Total (P)</t>
  </si>
  <si>
    <t>UL</t>
  </si>
  <si>
    <t>PM</t>
  </si>
  <si>
    <t>TGT</t>
  </si>
  <si>
    <t>PFE</t>
  </si>
  <si>
    <t>GE</t>
  </si>
  <si>
    <t>XOM</t>
  </si>
  <si>
    <t>HCP</t>
  </si>
  <si>
    <t>KMI</t>
  </si>
  <si>
    <t>Q1</t>
  </si>
  <si>
    <t>Q2</t>
  </si>
  <si>
    <t>Q3</t>
  </si>
  <si>
    <t>Q4</t>
  </si>
  <si>
    <t>CAT</t>
  </si>
  <si>
    <t>JNJ</t>
  </si>
  <si>
    <t>TD</t>
  </si>
  <si>
    <t>BNS</t>
  </si>
  <si>
    <t>Fees</t>
  </si>
  <si>
    <t>Expense %</t>
  </si>
  <si>
    <t>Total Dividends</t>
  </si>
  <si>
    <t>30th</t>
  </si>
  <si>
    <t>AAPL</t>
  </si>
  <si>
    <t>Dividends</t>
  </si>
  <si>
    <t>CSCO</t>
  </si>
  <si>
    <t>WFC</t>
  </si>
  <si>
    <t>BA</t>
  </si>
  <si>
    <t># Shs</t>
  </si>
  <si>
    <t>Cur Val</t>
  </si>
  <si>
    <t>Cur Yld</t>
  </si>
  <si>
    <t>Tot Gain</t>
  </si>
  <si>
    <t>Div/Shr</t>
  </si>
  <si>
    <t>Per Shr</t>
  </si>
  <si>
    <t>Tot Div</t>
  </si>
  <si>
    <t>'12</t>
  </si>
  <si>
    <t>'13</t>
  </si>
  <si>
    <t>'14</t>
  </si>
  <si>
    <t>'15</t>
  </si>
  <si>
    <t># Shrs</t>
  </si>
  <si>
    <t>% chg</t>
  </si>
  <si>
    <t>Age</t>
  </si>
  <si>
    <t>'16</t>
  </si>
  <si>
    <t>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</si>
</sst>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yy;@"/>
    <numFmt numFmtId="165" formatCode="_(* #,##0.000_);_(* \(#,##0.000\);_(* &quot;-&quot;??_);_(@_)"/>
    <numFmt numFmtId="166" formatCode="0.000%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0" xfId="0" applyFont="1"/>
    <xf numFmtId="43" fontId="0" fillId="0" borderId="0" xfId="0" applyNumberFormat="1"/>
    <xf numFmtId="43" fontId="0" fillId="0" borderId="3" xfId="0" applyNumberFormat="1" applyBorder="1"/>
    <xf numFmtId="43" fontId="0" fillId="0" borderId="3" xfId="1" applyFont="1" applyBorder="1"/>
    <xf numFmtId="43" fontId="2" fillId="0" borderId="0" xfId="1" applyFont="1"/>
    <xf numFmtId="43" fontId="2" fillId="0" borderId="3" xfId="1" applyFont="1" applyBorder="1"/>
    <xf numFmtId="43" fontId="2" fillId="0" borderId="3" xfId="0" applyNumberFormat="1" applyFont="1" applyBorder="1"/>
    <xf numFmtId="43" fontId="2" fillId="0" borderId="4" xfId="0" applyNumberFormat="1" applyFont="1" applyBorder="1"/>
    <xf numFmtId="10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43" fontId="0" fillId="0" borderId="0" xfId="1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0" fontId="0" fillId="0" borderId="3" xfId="2" applyNumberFormat="1" applyFont="1" applyBorder="1"/>
    <xf numFmtId="0" fontId="0" fillId="0" borderId="0" xfId="0" applyAlignment="1">
      <alignment horizontal="center"/>
    </xf>
    <xf numFmtId="9" fontId="0" fillId="0" borderId="0" xfId="2" applyFont="1"/>
    <xf numFmtId="43" fontId="2" fillId="0" borderId="0" xfId="0" applyNumberFormat="1" applyFont="1" applyBorder="1"/>
    <xf numFmtId="43" fontId="0" fillId="0" borderId="4" xfId="0" applyNumberFormat="1" applyBorder="1"/>
    <xf numFmtId="10" fontId="0" fillId="0" borderId="4" xfId="2" applyNumberFormat="1" applyFont="1" applyBorder="1"/>
    <xf numFmtId="43" fontId="0" fillId="0" borderId="4" xfId="1" applyFont="1" applyBorder="1"/>
    <xf numFmtId="43" fontId="0" fillId="0" borderId="0" xfId="1" applyFont="1" applyBorder="1"/>
    <xf numFmtId="43" fontId="0" fillId="3" borderId="0" xfId="1" applyFont="1" applyFill="1"/>
    <xf numFmtId="43" fontId="0" fillId="0" borderId="0" xfId="1" applyFont="1" applyFill="1"/>
    <xf numFmtId="43" fontId="1" fillId="0" borderId="3" xfId="1" applyFont="1" applyBorder="1"/>
    <xf numFmtId="43" fontId="2" fillId="0" borderId="0" xfId="1" applyFont="1" applyAlignment="1">
      <alignment horizontal="center"/>
    </xf>
    <xf numFmtId="43" fontId="3" fillId="0" borderId="0" xfId="1" applyFont="1" applyFill="1"/>
    <xf numFmtId="43" fontId="2" fillId="0" borderId="0" xfId="0" applyNumberFormat="1" applyFont="1" applyFill="1"/>
    <xf numFmtId="0" fontId="0" fillId="0" borderId="0" xfId="0" applyFill="1"/>
    <xf numFmtId="43" fontId="2" fillId="0" borderId="0" xfId="1" applyFont="1" applyFill="1"/>
    <xf numFmtId="43" fontId="0" fillId="0" borderId="0" xfId="0" applyNumberFormat="1" applyFill="1"/>
    <xf numFmtId="43" fontId="0" fillId="0" borderId="0" xfId="0" applyNumberFormat="1" applyBorder="1"/>
    <xf numFmtId="16" fontId="0" fillId="0" borderId="0" xfId="0" applyNumberFormat="1"/>
    <xf numFmtId="165" fontId="2" fillId="0" borderId="0" xfId="1" applyNumberFormat="1" applyFont="1" applyFill="1" applyAlignment="1">
      <alignment horizontal="center"/>
    </xf>
    <xf numFmtId="0" fontId="0" fillId="0" borderId="0" xfId="0" applyAlignment="1">
      <alignment horizontal="right"/>
    </xf>
    <xf numFmtId="164" fontId="2" fillId="0" borderId="0" xfId="0" quotePrefix="1" applyNumberFormat="1" applyFont="1"/>
    <xf numFmtId="43" fontId="2" fillId="0" borderId="2" xfId="0" applyNumberFormat="1" applyFont="1" applyBorder="1"/>
    <xf numFmtId="0" fontId="2" fillId="0" borderId="0" xfId="0" applyNumberFormat="1" applyFont="1" applyFill="1" applyAlignment="1">
      <alignment horizontal="center"/>
    </xf>
    <xf numFmtId="43" fontId="1" fillId="0" borderId="0" xfId="1" applyNumberFormat="1" applyFont="1" applyFill="1"/>
    <xf numFmtId="43" fontId="0" fillId="0" borderId="0" xfId="0" applyNumberFormat="1" applyFont="1" applyFill="1"/>
    <xf numFmtId="0" fontId="0" fillId="0" borderId="0" xfId="0" applyNumberFormat="1" applyFont="1" applyFill="1"/>
    <xf numFmtId="167" fontId="0" fillId="0" borderId="0" xfId="1" applyNumberFormat="1" applyFont="1"/>
    <xf numFmtId="167" fontId="0" fillId="0" borderId="0" xfId="1" applyNumberFormat="1" applyFont="1" applyBorder="1"/>
    <xf numFmtId="167" fontId="2" fillId="0" borderId="2" xfId="1" applyNumberFormat="1" applyFont="1" applyBorder="1"/>
    <xf numFmtId="167" fontId="2" fillId="0" borderId="0" xfId="1" applyNumberFormat="1" applyFont="1"/>
    <xf numFmtId="9" fontId="0" fillId="0" borderId="0" xfId="2" applyNumberFormat="1" applyFont="1"/>
    <xf numFmtId="167" fontId="0" fillId="0" borderId="0" xfId="1" applyNumberFormat="1" applyFont="1" applyFill="1"/>
    <xf numFmtId="167" fontId="0" fillId="0" borderId="0" xfId="1" applyNumberFormat="1" applyFont="1" applyFill="1" applyBorder="1"/>
    <xf numFmtId="167" fontId="2" fillId="0" borderId="2" xfId="0" applyNumberFormat="1" applyFont="1" applyBorder="1"/>
    <xf numFmtId="167" fontId="0" fillId="0" borderId="0" xfId="0" applyNumberFormat="1"/>
    <xf numFmtId="43" fontId="0" fillId="3" borderId="0" xfId="0" applyNumberFormat="1" applyFill="1"/>
    <xf numFmtId="43" fontId="0" fillId="3" borderId="0" xfId="0" applyNumberFormat="1" applyFill="1" applyBorder="1"/>
    <xf numFmtId="0" fontId="2" fillId="0" borderId="0" xfId="0" quotePrefix="1" applyFont="1" applyAlignment="1">
      <alignment horizontal="center"/>
    </xf>
    <xf numFmtId="167" fontId="3" fillId="0" borderId="0" xfId="1" applyNumberFormat="1" applyFont="1" applyFill="1"/>
    <xf numFmtId="0" fontId="2" fillId="0" borderId="0" xfId="1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165" fontId="4" fillId="0" borderId="0" xfId="1" applyNumberFormat="1" applyFont="1"/>
    <xf numFmtId="43" fontId="5" fillId="0" borderId="0" xfId="1" applyFont="1"/>
    <xf numFmtId="43" fontId="4" fillId="0" borderId="0" xfId="1" applyFont="1" applyFill="1"/>
    <xf numFmtId="43" fontId="4" fillId="3" borderId="0" xfId="1" applyFont="1" applyFill="1"/>
    <xf numFmtId="43" fontId="4" fillId="4" borderId="0" xfId="1" applyFont="1" applyFill="1"/>
    <xf numFmtId="43" fontId="4" fillId="0" borderId="0" xfId="1" applyFont="1"/>
    <xf numFmtId="43" fontId="4" fillId="0" borderId="0" xfId="1" applyNumberFormat="1" applyFont="1"/>
    <xf numFmtId="43" fontId="4" fillId="0" borderId="0" xfId="0" applyNumberFormat="1" applyFont="1"/>
    <xf numFmtId="10" fontId="4" fillId="0" borderId="0" xfId="2" applyNumberFormat="1" applyFont="1"/>
    <xf numFmtId="16" fontId="4" fillId="0" borderId="0" xfId="0" applyNumberFormat="1" applyFont="1"/>
    <xf numFmtId="43" fontId="6" fillId="0" borderId="0" xfId="1" applyFont="1" applyFill="1"/>
    <xf numFmtId="43" fontId="4" fillId="0" borderId="0" xfId="0" applyNumberFormat="1" applyFont="1" applyFill="1"/>
    <xf numFmtId="165" fontId="4" fillId="0" borderId="0" xfId="0" applyNumberFormat="1" applyFont="1"/>
    <xf numFmtId="43" fontId="5" fillId="0" borderId="0" xfId="0" applyNumberFormat="1" applyFont="1"/>
    <xf numFmtId="43" fontId="5" fillId="0" borderId="3" xfId="1" applyFont="1" applyBorder="1"/>
    <xf numFmtId="165" fontId="5" fillId="0" borderId="0" xfId="1" applyNumberFormat="1" applyFont="1"/>
    <xf numFmtId="43" fontId="5" fillId="0" borderId="3" xfId="0" applyNumberFormat="1" applyFont="1" applyBorder="1"/>
    <xf numFmtId="10" fontId="5" fillId="0" borderId="3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6" fontId="4" fillId="0" borderId="0" xfId="2" applyNumberFormat="1" applyFont="1"/>
    <xf numFmtId="9" fontId="4" fillId="0" borderId="0" xfId="2" applyFont="1"/>
    <xf numFmtId="0" fontId="4" fillId="3" borderId="0" xfId="0" applyFont="1" applyFill="1"/>
    <xf numFmtId="43" fontId="6" fillId="4" borderId="0" xfId="1" applyFont="1" applyFill="1"/>
    <xf numFmtId="0" fontId="4" fillId="0" borderId="0" xfId="0" applyFont="1" applyFill="1"/>
    <xf numFmtId="167" fontId="0" fillId="0" borderId="0" xfId="1" quotePrefix="1" applyNumberFormat="1" applyFont="1"/>
    <xf numFmtId="167" fontId="0" fillId="0" borderId="1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Qtrly!$B$1</c:f>
              <c:strCache>
                <c:ptCount val="1"/>
                <c:pt idx="0">
                  <c:v>'12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Qtrly!$B$2:$B$5</c:f>
              <c:numCache>
                <c:formatCode>_(* #,##0_);_(* \(#,##0\);_(* "-"??_);_(@_)</c:formatCode>
                <c:ptCount val="4"/>
                <c:pt idx="0">
                  <c:v>22</c:v>
                </c:pt>
                <c:pt idx="1">
                  <c:v>47.5</c:v>
                </c:pt>
                <c:pt idx="2">
                  <c:v>80.17</c:v>
                </c:pt>
                <c:pt idx="3">
                  <c:v>46.44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5-487A-911B-D19B0CF94B03}"/>
            </c:ext>
          </c:extLst>
        </c:ser>
        <c:ser>
          <c:idx val="1"/>
          <c:order val="1"/>
          <c:tx>
            <c:strRef>
              <c:f>Qtrly!$C$1</c:f>
              <c:strCache>
                <c:ptCount val="1"/>
                <c:pt idx="0">
                  <c:v>'13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Qtrly!$C$2:$C$5</c:f>
              <c:numCache>
                <c:formatCode>_(* #,##0_);_(* \(#,##0\);_(* "-"??_);_(@_)</c:formatCode>
                <c:ptCount val="4"/>
                <c:pt idx="0">
                  <c:v>71.22</c:v>
                </c:pt>
                <c:pt idx="1">
                  <c:v>110.87</c:v>
                </c:pt>
                <c:pt idx="2">
                  <c:v>144.41999999999999</c:v>
                </c:pt>
                <c:pt idx="3">
                  <c:v>145.75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5-487A-911B-D19B0CF94B03}"/>
            </c:ext>
          </c:extLst>
        </c:ser>
        <c:ser>
          <c:idx val="2"/>
          <c:order val="2"/>
          <c:tx>
            <c:strRef>
              <c:f>Qtrly!$D$1</c:f>
              <c:strCache>
                <c:ptCount val="1"/>
                <c:pt idx="0">
                  <c:v>'14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Qtrly!$D$2:$D$5</c:f>
              <c:numCache>
                <c:formatCode>_(* #,##0_);_(* \(#,##0\);_(* "-"??_);_(@_)</c:formatCode>
                <c:ptCount val="4"/>
                <c:pt idx="0">
                  <c:v>166.14</c:v>
                </c:pt>
                <c:pt idx="1">
                  <c:v>210.28</c:v>
                </c:pt>
                <c:pt idx="2">
                  <c:v>234.9</c:v>
                </c:pt>
                <c:pt idx="3">
                  <c:v>286.07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5-487A-911B-D19B0CF94B03}"/>
            </c:ext>
          </c:extLst>
        </c:ser>
        <c:ser>
          <c:idx val="3"/>
          <c:order val="3"/>
          <c:tx>
            <c:strRef>
              <c:f>Qtrly!$E$1</c:f>
              <c:strCache>
                <c:ptCount val="1"/>
                <c:pt idx="0">
                  <c:v>'15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Qtrly!$E$2:$E$5</c:f>
              <c:numCache>
                <c:formatCode>_(* #,##0_);_(* \(#,##0\);_(* "-"??_);_(@_)</c:formatCode>
                <c:ptCount val="4"/>
                <c:pt idx="0">
                  <c:v>291.06</c:v>
                </c:pt>
                <c:pt idx="1">
                  <c:v>320.44</c:v>
                </c:pt>
                <c:pt idx="2">
                  <c:v>336.45</c:v>
                </c:pt>
                <c:pt idx="3">
                  <c:v>341.43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25-487A-911B-D19B0CF94B03}"/>
            </c:ext>
          </c:extLst>
        </c:ser>
        <c:ser>
          <c:idx val="4"/>
          <c:order val="4"/>
          <c:tx>
            <c:strRef>
              <c:f>Qtrly!$F$1</c:f>
              <c:strCache>
                <c:ptCount val="1"/>
                <c:pt idx="0">
                  <c:v>'16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125-487A-911B-D19B0CF94B0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33-4815-BE6C-8679BFB13D0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33-4815-BE6C-8679BFB13D0B}"/>
              </c:ext>
            </c:extLst>
          </c:dPt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Qtrly!$F$2:$F$5</c:f>
              <c:numCache>
                <c:formatCode>_(* #,##0_);_(* \(#,##0\);_(* "-"??_);_(@_)</c:formatCode>
                <c:ptCount val="4"/>
                <c:pt idx="0">
                  <c:v>356.37</c:v>
                </c:pt>
                <c:pt idx="1">
                  <c:v>355.6</c:v>
                </c:pt>
                <c:pt idx="2">
                  <c:v>369.22</c:v>
                </c:pt>
                <c:pt idx="3">
                  <c:v>365.61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25-487A-911B-D19B0CF94B03}"/>
            </c:ext>
          </c:extLst>
        </c:ser>
        <c:ser>
          <c:idx val="5"/>
          <c:order val="5"/>
          <c:tx>
            <c:strRef>
              <c:f>Qtrly!$G$1</c:f>
              <c:strCache>
                <c:ptCount val="1"/>
                <c:pt idx="0">
                  <c:v>'17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4F6-4E38-B92D-585B12FF2FE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4F6-4E38-B92D-585B12FF2FE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E4F6-4E38-B92D-585B12FF2FE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4F6-4E38-B92D-585B12FF2FE4}"/>
              </c:ext>
            </c:extLst>
          </c:dPt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Qtrly!$G$2:$G$5</c:f>
              <c:numCache>
                <c:formatCode>_(* #,##0.00_);_(* \(#,##0.00\);_(* "-"??_);_(@_)</c:formatCode>
                <c:ptCount val="4"/>
                <c:pt idx="0">
                  <c:v>388.28</c:v>
                </c:pt>
                <c:pt idx="1">
                  <c:v>387.69</c:v>
                </c:pt>
                <c:pt idx="2">
                  <c:v>413.39</c:v>
                </c:pt>
                <c:pt idx="3">
                  <c:v>415.23891200000003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25-487A-911B-D19B0CF94B03}"/>
            </c:ext>
          </c:extLst>
        </c:ser>
        <c:ser>
          <c:idx val="6"/>
          <c:order val="6"/>
          <c:tx>
            <c:strRef>
              <c:f>Qtrly!$H$1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Qtrly!$H$2:$H$5</c:f>
              <c:numCache>
                <c:formatCode>_(* #,##0.00_);_(* \(#,##0.00\);_(* "-"??_);_(@_)</c:formatCode>
                <c:ptCount val="4"/>
                <c:pt idx="0">
                  <c:v>437.89679047999999</c:v>
                </c:pt>
                <c:pt idx="1">
                  <c:v>434.17516492524794</c:v>
                </c:pt>
                <c:pt idx="2">
                  <c:v>435.72750950665363</c:v>
                </c:pt>
                <c:pt idx="3">
                  <c:v>437.92967786397094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25-487A-911B-D19B0CF94B03}"/>
            </c:ext>
          </c:extLst>
        </c:ser>
        <c:ser>
          <c:idx val="7"/>
          <c:order val="7"/>
          <c:tx>
            <c:strRef>
              <c:f>Qtrly!$I$1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Qtrly!$I$2:$I$5</c:f>
              <c:numCache>
                <c:formatCode>_(* #,##0.00_);_(* \(#,##0.00\);_(* "-"??_);_(@_)</c:formatCode>
                <c:ptCount val="4"/>
                <c:pt idx="0">
                  <c:v>452.12887180132981</c:v>
                </c:pt>
                <c:pt idx="1">
                  <c:v>459.38474183032724</c:v>
                </c:pt>
                <c:pt idx="2">
                  <c:v>461.35393789905345</c:v>
                </c:pt>
                <c:pt idx="3">
                  <c:v>463.99893973423036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3A-435F-A024-D67ABAEA1A8C}"/>
            </c:ext>
          </c:extLst>
        </c:ser>
        <c:ser>
          <c:idx val="8"/>
          <c:order val="8"/>
          <c:tx>
            <c:strRef>
              <c:f>Qtrly!$J$1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Qtrly!$J$2:$J$5</c:f>
              <c:numCache>
                <c:formatCode>_(* #,##0.00_);_(* \(#,##0.00\);_(* "-"??_);_(@_)</c:formatCode>
                <c:ptCount val="4"/>
                <c:pt idx="0">
                  <c:v>480.0431666184067</c:v>
                </c:pt>
                <c:pt idx="1">
                  <c:v>488.15001640022035</c:v>
                </c:pt>
                <c:pt idx="2">
                  <c:v>490.62639373965635</c:v>
                </c:pt>
                <c:pt idx="3">
                  <c:v>493.82507189121651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3A-435F-A024-D67ABAEA1A8C}"/>
            </c:ext>
          </c:extLst>
        </c:ser>
        <c:ser>
          <c:idx val="9"/>
          <c:order val="9"/>
          <c:tx>
            <c:strRef>
              <c:f>Qtrly!$K$1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Qtrly!$A$2:$A$5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Qtrly!$K$2:$K$5</c:f>
              <c:numCache>
                <c:formatCode>_(* #,##0.00_);_(* \(#,##0.00\);_(* "-"??_);_(@_)</c:formatCode>
                <c:ptCount val="4"/>
                <c:pt idx="0">
                  <c:v>512.13746387481569</c:v>
                </c:pt>
                <c:pt idx="1">
                  <c:v>521.35040565649683</c:v>
                </c:pt>
                <c:pt idx="2">
                  <c:v>524.55430992353195</c:v>
                </c:pt>
                <c:pt idx="3">
                  <c:v>528.49754118245619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3A-435F-A024-D67ABAEA1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2486112"/>
        <c:axId val="312492776"/>
      </c:barChart>
      <c:catAx>
        <c:axId val="31248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92776"/>
        <c:crosses val="autoZero"/>
        <c:auto val="1"/>
        <c:lblAlgn val="ctr"/>
        <c:lblOffset val="100"/>
        <c:noMultiLvlLbl val="0"/>
      </c:catAx>
      <c:valAx>
        <c:axId val="31249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8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Yrly!$B$1</c:f>
              <c:strCache>
                <c:ptCount val="1"/>
                <c:pt idx="0">
                  <c:v>Dividends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A2B1-4263-8C77-4976776AC5F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A2B1-4263-8C77-4976776AC5F6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A2B1-4263-8C77-4976776AC5F6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A2B1-4263-8C77-4976776AC5F6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A2B1-4263-8C77-4976776AC5F6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42E-4F1B-A19F-FAFBC2BA6A35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42E-4F1B-A19F-FAFBC2BA6A35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42E-4F1B-A19F-FAFBC2BA6A35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42E-4F1B-A19F-FAFBC2BA6A35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A3C5-417E-BF43-93FA50A8DD03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2-A2B1-4263-8C77-4976776AC5F6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2B1-4263-8C77-4976776AC5F6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4-A2B1-4263-8C77-4976776AC5F6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A2B1-4263-8C77-4976776AC5F6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6-A2B1-4263-8C77-4976776AC5F6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A2B1-4263-8C77-4976776AC5F6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8-A2B1-4263-8C77-4976776AC5F6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A2B1-4263-8C77-4976776AC5F6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A-A2B1-4263-8C77-4976776AC5F6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A2B1-4263-8C77-4976776AC5F6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C-A2B1-4263-8C77-4976776AC5F6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A2B1-4263-8C77-4976776AC5F6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E-A2B1-4263-8C77-4976776AC5F6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A2B1-4263-8C77-4976776AC5F6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0-A2B1-4263-8C77-4976776AC5F6}"/>
              </c:ext>
            </c:extLst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1-A2B1-4263-8C77-4976776AC5F6}"/>
              </c:ext>
            </c:extLst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2-A2B1-4263-8C77-4976776AC5F6}"/>
              </c:ext>
            </c:extLst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3-A2B1-4263-8C77-4976776AC5F6}"/>
              </c:ext>
            </c:extLst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4-A2B1-4263-8C77-4976776AC5F6}"/>
              </c:ext>
            </c:extLst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5-A2B1-4263-8C77-4976776AC5F6}"/>
              </c:ext>
            </c:extLst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6-A2B1-4263-8C77-4976776AC5F6}"/>
              </c:ext>
            </c:extLst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7-A2B1-4263-8C77-4976776AC5F6}"/>
              </c:ext>
            </c:extLst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8-A2B1-4263-8C77-4976776AC5F6}"/>
              </c:ext>
            </c:extLst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9-A2B1-4263-8C77-4976776AC5F6}"/>
              </c:ext>
            </c:extLst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A-A2B1-4263-8C77-4976776AC5F6}"/>
              </c:ext>
            </c:extLst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48-C5D0-4F8C-8227-6F5D3724BA6B}"/>
              </c:ext>
            </c:extLst>
          </c:dPt>
          <c:dPt>
            <c:idx val="3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4B-2B5F-49DC-B316-4D1A326EE115}"/>
              </c:ext>
            </c:extLst>
          </c:dPt>
          <c:dPt>
            <c:idx val="3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4C-2B5F-49DC-B316-4D1A326EE115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Yrly!$A$2:$A$39</c:f>
              <c:numCache>
                <c:formatCode>General</c:formatCode>
                <c:ptCount val="3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</c:numCache>
            </c:numRef>
          </c:cat>
          <c:val>
            <c:numRef>
              <c:f>Yrly!$B$2:$B$39</c:f>
              <c:numCache>
                <c:formatCode>_(* #,##0.00_);_(* \(#,##0.00\);_(* "-"??_);_(@_)</c:formatCode>
                <c:ptCount val="38"/>
                <c:pt idx="0">
                  <c:v>196.11</c:v>
                </c:pt>
                <c:pt idx="1">
                  <c:v>472.26</c:v>
                </c:pt>
                <c:pt idx="2">
                  <c:v>897.38999999999987</c:v>
                </c:pt>
                <c:pt idx="3">
                  <c:v>1289.3800000000001</c:v>
                </c:pt>
                <c:pt idx="4">
                  <c:v>1447</c:v>
                </c:pt>
                <c:pt idx="5">
                  <c:v>1708.5989119999999</c:v>
                </c:pt>
                <c:pt idx="6">
                  <c:v>2137.8491427758727</c:v>
                </c:pt>
                <c:pt idx="7">
                  <c:v>2532.9864912649405</c:v>
                </c:pt>
                <c:pt idx="8">
                  <c:v>2986.1246486494997</c:v>
                </c:pt>
                <c:pt idx="9">
                  <c:v>3476.0197206373009</c:v>
                </c:pt>
                <c:pt idx="10">
                  <c:v>4172.8614954946588</c:v>
                </c:pt>
                <c:pt idx="11">
                  <c:v>4932.4190300891787</c:v>
                </c:pt>
                <c:pt idx="12">
                  <c:v>5376.3367427972053</c:v>
                </c:pt>
                <c:pt idx="13">
                  <c:v>5860.2070496489541</c:v>
                </c:pt>
                <c:pt idx="14">
                  <c:v>6387.6256841173599</c:v>
                </c:pt>
                <c:pt idx="15">
                  <c:v>6962.5119956879234</c:v>
                </c:pt>
                <c:pt idx="16">
                  <c:v>7589.1380752998366</c:v>
                </c:pt>
                <c:pt idx="17">
                  <c:v>8272.160502076822</c:v>
                </c:pt>
                <c:pt idx="18">
                  <c:v>9016.6549472637362</c:v>
                </c:pt>
                <c:pt idx="19">
                  <c:v>9828.1538925174718</c:v>
                </c:pt>
                <c:pt idx="20">
                  <c:v>10712.687742844044</c:v>
                </c:pt>
                <c:pt idx="21">
                  <c:v>11676.829639700009</c:v>
                </c:pt>
                <c:pt idx="22">
                  <c:v>12727.744307273009</c:v>
                </c:pt>
                <c:pt idx="23">
                  <c:v>13873.24129492758</c:v>
                </c:pt>
                <c:pt idx="24">
                  <c:v>15121.833011471062</c:v>
                </c:pt>
                <c:pt idx="25">
                  <c:v>16482.797982503456</c:v>
                </c:pt>
                <c:pt idx="26">
                  <c:v>17966.249800928766</c:v>
                </c:pt>
                <c:pt idx="27">
                  <c:v>19583.212283012355</c:v>
                </c:pt>
                <c:pt idx="28">
                  <c:v>21345.701388483471</c:v>
                </c:pt>
                <c:pt idx="29">
                  <c:v>23266.814513446985</c:v>
                </c:pt>
                <c:pt idx="30">
                  <c:v>25360.827819657217</c:v>
                </c:pt>
                <c:pt idx="31">
                  <c:v>27643.302323426367</c:v>
                </c:pt>
                <c:pt idx="32">
                  <c:v>30131.199532534742</c:v>
                </c:pt>
                <c:pt idx="33">
                  <c:v>32843.007490462871</c:v>
                </c:pt>
                <c:pt idx="34">
                  <c:v>35798.878164604532</c:v>
                </c:pt>
                <c:pt idx="35">
                  <c:v>39020.777199418939</c:v>
                </c:pt>
                <c:pt idx="36">
                  <c:v>42532.647147366646</c:v>
                </c:pt>
                <c:pt idx="37">
                  <c:v>46360.585390629647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2E-4F1B-A19F-FAFBC2BA6A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2489640"/>
        <c:axId val="312492384"/>
      </c:barChart>
      <c:catAx>
        <c:axId val="312489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92384"/>
        <c:crosses val="autoZero"/>
        <c:auto val="1"/>
        <c:lblAlgn val="ctr"/>
        <c:lblOffset val="100"/>
        <c:noMultiLvlLbl val="0"/>
      </c:catAx>
      <c:valAx>
        <c:axId val="31249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8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7</xdr:row>
      <xdr:rowOff>80959</xdr:rowOff>
    </xdr:from>
    <xdr:to>
      <xdr:col>15</xdr:col>
      <xdr:colOff>455084</xdr:colOff>
      <xdr:row>25</xdr:row>
      <xdr:rowOff>179916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0</xdr:row>
      <xdr:rowOff>123295</xdr:rowOff>
    </xdr:from>
    <xdr:to>
      <xdr:col>23</xdr:col>
      <xdr:colOff>158750</xdr:colOff>
      <xdr:row>24</xdr:row>
      <xdr:rowOff>148168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23" sqref="E23"/>
    </sheetView>
  </sheetViews>
  <sheetFormatPr defaultRowHeight="15" x14ac:dyDescent="0.25"/>
  <cols>
    <col min="1" max="1" width="19.85546875" bestFit="1" customWidth="1"/>
    <col min="2" max="2" width="3.5703125" customWidth="1"/>
    <col min="3" max="3" width="10.5703125" style="2" bestFit="1" customWidth="1"/>
    <col min="4" max="4" width="9.42578125" customWidth="1"/>
    <col min="5" max="5" width="10.5703125" style="2" bestFit="1" customWidth="1"/>
    <col min="6" max="6" width="9.5703125" customWidth="1"/>
    <col min="7" max="7" width="2.85546875" customWidth="1"/>
    <col min="8" max="8" width="10.28515625" bestFit="1" customWidth="1"/>
  </cols>
  <sheetData>
    <row r="1" spans="1:9" x14ac:dyDescent="0.25">
      <c r="A1" s="3" t="s">
        <v>60</v>
      </c>
      <c r="C1" s="28" t="s">
        <v>57</v>
      </c>
      <c r="E1" s="28" t="s">
        <v>58</v>
      </c>
      <c r="F1" s="1"/>
      <c r="G1" s="1"/>
    </row>
    <row r="2" spans="1:9" x14ac:dyDescent="0.25">
      <c r="A2" t="s">
        <v>68</v>
      </c>
      <c r="C2" s="2">
        <v>3962.41</v>
      </c>
      <c r="D2" s="11">
        <f t="shared" ref="D2:D20" si="0">C2/$C$23</f>
        <v>0.10091062286379775</v>
      </c>
      <c r="E2" s="2">
        <v>5513</v>
      </c>
      <c r="F2" s="11">
        <f t="shared" ref="F2:F20" si="1">E2/$E$23</f>
        <v>0.12757330489834745</v>
      </c>
      <c r="G2" s="2"/>
      <c r="H2" s="4">
        <f t="shared" ref="H2:H20" si="2">E2-C2</f>
        <v>1550.5900000000001</v>
      </c>
      <c r="I2" s="11">
        <f t="shared" ref="I2:I20" si="3">H2/C2</f>
        <v>0.39132497646634251</v>
      </c>
    </row>
    <row r="3" spans="1:9" x14ac:dyDescent="0.25">
      <c r="A3" t="s">
        <v>22</v>
      </c>
      <c r="C3" s="2">
        <v>3255.63</v>
      </c>
      <c r="D3" s="11">
        <f t="shared" si="0"/>
        <v>8.2911069554656353E-2</v>
      </c>
      <c r="E3" s="2">
        <v>4554.6099999999997</v>
      </c>
      <c r="F3" s="11">
        <f t="shared" si="1"/>
        <v>0.10539572831907533</v>
      </c>
      <c r="G3" s="2"/>
      <c r="H3" s="4">
        <f t="shared" si="2"/>
        <v>1298.9799999999996</v>
      </c>
      <c r="I3" s="11">
        <f t="shared" si="3"/>
        <v>0.3989949717873344</v>
      </c>
    </row>
    <row r="4" spans="1:9" x14ac:dyDescent="0.25">
      <c r="A4" t="s">
        <v>17</v>
      </c>
      <c r="C4" s="2">
        <v>2814.95</v>
      </c>
      <c r="D4" s="11">
        <f t="shared" si="0"/>
        <v>7.168828006956561E-2</v>
      </c>
      <c r="E4" s="2">
        <v>2871.54</v>
      </c>
      <c r="F4" s="11">
        <f t="shared" si="1"/>
        <v>6.6448729901650766E-2</v>
      </c>
      <c r="G4" s="2"/>
      <c r="H4" s="4">
        <f t="shared" si="2"/>
        <v>56.590000000000146</v>
      </c>
      <c r="I4" s="11">
        <f t="shared" si="3"/>
        <v>2.0103376614149505E-2</v>
      </c>
    </row>
    <row r="5" spans="1:9" x14ac:dyDescent="0.25">
      <c r="A5" t="s">
        <v>92</v>
      </c>
      <c r="C5" s="2">
        <v>1920.35</v>
      </c>
      <c r="D5" s="11">
        <f t="shared" si="0"/>
        <v>4.8905518261990556E-2</v>
      </c>
      <c r="E5" s="2">
        <v>2798.85</v>
      </c>
      <c r="F5" s="11">
        <f t="shared" si="1"/>
        <v>6.4766650537772502E-2</v>
      </c>
      <c r="G5" s="2"/>
      <c r="H5" s="4">
        <f t="shared" si="2"/>
        <v>878.5</v>
      </c>
      <c r="I5" s="11">
        <f t="shared" si="3"/>
        <v>0.45746869060327544</v>
      </c>
    </row>
    <row r="6" spans="1:9" x14ac:dyDescent="0.25">
      <c r="A6" t="s">
        <v>72</v>
      </c>
      <c r="C6" s="2">
        <v>2500.65</v>
      </c>
      <c r="D6" s="11">
        <f t="shared" si="0"/>
        <v>6.3684007728719599E-2</v>
      </c>
      <c r="E6" s="2">
        <v>2745</v>
      </c>
      <c r="F6" s="11">
        <f t="shared" si="1"/>
        <v>6.3520537265728969E-2</v>
      </c>
      <c r="G6" s="2"/>
      <c r="H6" s="4">
        <f t="shared" si="2"/>
        <v>244.34999999999991</v>
      </c>
      <c r="I6" s="11">
        <f t="shared" si="3"/>
        <v>9.771459420550653E-2</v>
      </c>
    </row>
    <row r="7" spans="1:9" x14ac:dyDescent="0.25">
      <c r="A7" t="s">
        <v>88</v>
      </c>
      <c r="C7" s="2">
        <v>1550.25</v>
      </c>
      <c r="D7" s="11">
        <f t="shared" si="0"/>
        <v>3.9480188343609689E-2</v>
      </c>
      <c r="E7" s="2">
        <v>2304.15</v>
      </c>
      <c r="F7" s="11">
        <f t="shared" si="1"/>
        <v>5.3319069559500692E-2</v>
      </c>
      <c r="G7" s="2"/>
      <c r="H7" s="4">
        <f t="shared" si="2"/>
        <v>753.90000000000009</v>
      </c>
      <c r="I7" s="11">
        <f t="shared" si="3"/>
        <v>0.48630865989356559</v>
      </c>
    </row>
    <row r="8" spans="1:9" x14ac:dyDescent="0.25">
      <c r="A8" t="s">
        <v>18</v>
      </c>
      <c r="C8" s="2">
        <v>2468.9299999999998</v>
      </c>
      <c r="D8" s="11">
        <f t="shared" si="0"/>
        <v>6.287619506994889E-2</v>
      </c>
      <c r="E8" s="2">
        <v>2238.44</v>
      </c>
      <c r="F8" s="11">
        <f t="shared" si="1"/>
        <v>5.1798510541748034E-2</v>
      </c>
      <c r="G8" s="2"/>
      <c r="H8" s="4">
        <f t="shared" si="2"/>
        <v>-230.48999999999978</v>
      </c>
      <c r="I8" s="11">
        <f t="shared" si="3"/>
        <v>-9.3356231241873922E-2</v>
      </c>
    </row>
    <row r="9" spans="1:9" x14ac:dyDescent="0.25">
      <c r="A9" t="s">
        <v>91</v>
      </c>
      <c r="C9" s="2">
        <v>1925.55</v>
      </c>
      <c r="D9" s="11">
        <f t="shared" si="0"/>
        <v>4.9037946566707069E-2</v>
      </c>
      <c r="E9" s="2">
        <v>2096.4</v>
      </c>
      <c r="F9" s="11">
        <f t="shared" si="1"/>
        <v>4.8511640919444154E-2</v>
      </c>
      <c r="G9" s="2"/>
      <c r="H9" s="4">
        <f t="shared" si="2"/>
        <v>170.85000000000014</v>
      </c>
      <c r="I9" s="11">
        <f t="shared" si="3"/>
        <v>8.8727895925839448E-2</v>
      </c>
    </row>
    <row r="10" spans="1:9" x14ac:dyDescent="0.25">
      <c r="A10" t="s">
        <v>41</v>
      </c>
      <c r="C10" s="2">
        <v>2376.9499999999998</v>
      </c>
      <c r="D10" s="11">
        <f t="shared" si="0"/>
        <v>6.0533742095367223E-2</v>
      </c>
      <c r="E10" s="2">
        <v>2002.55</v>
      </c>
      <c r="F10" s="11">
        <f t="shared" si="1"/>
        <v>4.6339909618027517E-2</v>
      </c>
      <c r="G10" s="2"/>
      <c r="H10" s="4">
        <f t="shared" si="2"/>
        <v>-374.39999999999986</v>
      </c>
      <c r="I10" s="11">
        <f t="shared" si="3"/>
        <v>-0.15751277898146782</v>
      </c>
    </row>
    <row r="11" spans="1:9" x14ac:dyDescent="0.25">
      <c r="A11" t="s">
        <v>24</v>
      </c>
      <c r="C11" s="2">
        <v>2247.9299999999998</v>
      </c>
      <c r="D11" s="11">
        <f t="shared" si="0"/>
        <v>5.7247992119497187E-2</v>
      </c>
      <c r="E11" s="2">
        <v>1924.78</v>
      </c>
      <c r="F11" s="11">
        <f t="shared" si="1"/>
        <v>4.4540276764418872E-2</v>
      </c>
      <c r="G11" s="2"/>
      <c r="H11" s="4">
        <f t="shared" si="2"/>
        <v>-323.14999999999986</v>
      </c>
      <c r="I11" s="11">
        <f t="shared" si="3"/>
        <v>-0.14375447634045538</v>
      </c>
    </row>
    <row r="12" spans="1:9" x14ac:dyDescent="0.25">
      <c r="A12" t="s">
        <v>81</v>
      </c>
      <c r="C12" s="2">
        <v>1516.02</v>
      </c>
      <c r="D12" s="11">
        <f t="shared" si="0"/>
        <v>3.8608453560831577E-2</v>
      </c>
      <c r="E12" s="2">
        <v>1903.8</v>
      </c>
      <c r="F12" s="11">
        <f t="shared" si="1"/>
        <v>4.4054790108012679E-2</v>
      </c>
      <c r="G12" s="2"/>
      <c r="H12" s="4">
        <f t="shared" si="2"/>
        <v>387.78</v>
      </c>
      <c r="I12" s="11">
        <f t="shared" si="3"/>
        <v>0.25578818221395494</v>
      </c>
    </row>
    <row r="13" spans="1:9" x14ac:dyDescent="0.25">
      <c r="A13" t="s">
        <v>69</v>
      </c>
      <c r="C13" s="2">
        <v>1243.95</v>
      </c>
      <c r="D13" s="11">
        <f t="shared" si="0"/>
        <v>3.1679651856173698E-2</v>
      </c>
      <c r="E13" s="2">
        <v>1837.35</v>
      </c>
      <c r="F13" s="11">
        <f t="shared" si="1"/>
        <v>4.2517107156716617E-2</v>
      </c>
      <c r="G13" s="2"/>
      <c r="H13" s="4">
        <f t="shared" si="2"/>
        <v>593.39999999999986</v>
      </c>
      <c r="I13" s="11">
        <f t="shared" si="3"/>
        <v>0.47702881948631365</v>
      </c>
    </row>
    <row r="14" spans="1:9" x14ac:dyDescent="0.25">
      <c r="A14" t="s">
        <v>90</v>
      </c>
      <c r="C14" s="2">
        <v>1279.0999999999999</v>
      </c>
      <c r="D14" s="11">
        <f t="shared" si="0"/>
        <v>3.257481626209395E-2</v>
      </c>
      <c r="E14" s="2">
        <v>1732.5</v>
      </c>
      <c r="F14" s="11">
        <f t="shared" si="1"/>
        <v>4.0090830897222381E-2</v>
      </c>
      <c r="G14" s="2"/>
      <c r="H14" s="4">
        <f t="shared" si="2"/>
        <v>453.40000000000009</v>
      </c>
      <c r="I14" s="11">
        <f t="shared" si="3"/>
        <v>0.35446798530216567</v>
      </c>
    </row>
    <row r="15" spans="1:9" x14ac:dyDescent="0.25">
      <c r="A15" t="s">
        <v>82</v>
      </c>
      <c r="C15" s="2">
        <v>1267.49</v>
      </c>
      <c r="D15" s="11">
        <f t="shared" si="0"/>
        <v>3.2279144604832666E-2</v>
      </c>
      <c r="E15" s="2">
        <v>1431.9</v>
      </c>
      <c r="F15" s="11">
        <f t="shared" si="1"/>
        <v>3.3134811406483534E-2</v>
      </c>
      <c r="G15" s="2"/>
      <c r="H15" s="4">
        <f t="shared" si="2"/>
        <v>164.41000000000008</v>
      </c>
      <c r="I15" s="11">
        <f t="shared" si="3"/>
        <v>0.12971305493534471</v>
      </c>
    </row>
    <row r="16" spans="1:9" x14ac:dyDescent="0.25">
      <c r="A16" t="s">
        <v>71</v>
      </c>
      <c r="C16" s="2">
        <v>1236.3499999999999</v>
      </c>
      <c r="D16" s="11">
        <f t="shared" si="0"/>
        <v>3.1486102795434179E-2</v>
      </c>
      <c r="E16" s="2">
        <v>1285.5999999999999</v>
      </c>
      <c r="F16" s="11">
        <f t="shared" si="1"/>
        <v>2.9749363464051423E-2</v>
      </c>
      <c r="G16" s="2"/>
      <c r="H16" s="4">
        <f t="shared" si="2"/>
        <v>49.25</v>
      </c>
      <c r="I16" s="11">
        <f t="shared" si="3"/>
        <v>3.9834998180126986E-2</v>
      </c>
    </row>
    <row r="17" spans="1:9" x14ac:dyDescent="0.25">
      <c r="A17" t="s">
        <v>73</v>
      </c>
      <c r="C17" s="2">
        <v>1425.6</v>
      </c>
      <c r="D17" s="11">
        <f t="shared" si="0"/>
        <v>3.6305729077664869E-2</v>
      </c>
      <c r="E17" s="2">
        <v>1223.25</v>
      </c>
      <c r="F17" s="11">
        <f t="shared" si="1"/>
        <v>2.8306556360766105E-2</v>
      </c>
      <c r="G17" s="2"/>
      <c r="H17" s="4">
        <f t="shared" si="2"/>
        <v>-202.34999999999991</v>
      </c>
      <c r="I17" s="11">
        <f t="shared" si="3"/>
        <v>-0.14194023569023564</v>
      </c>
    </row>
    <row r="18" spans="1:9" x14ac:dyDescent="0.25">
      <c r="A18" t="s">
        <v>75</v>
      </c>
      <c r="C18" s="2">
        <v>2426.54</v>
      </c>
      <c r="D18" s="11">
        <f t="shared" si="0"/>
        <v>6.1796649716692562E-2</v>
      </c>
      <c r="E18" s="2">
        <v>1129.6500000000001</v>
      </c>
      <c r="F18" s="11">
        <f t="shared" si="1"/>
        <v>2.6140610172033053E-2</v>
      </c>
      <c r="G18" s="2"/>
      <c r="H18" s="4">
        <f t="shared" si="2"/>
        <v>-1296.8899999999999</v>
      </c>
      <c r="I18" s="11">
        <f t="shared" si="3"/>
        <v>-0.53446058997585033</v>
      </c>
    </row>
    <row r="19" spans="1:9" x14ac:dyDescent="0.25">
      <c r="A19" t="s">
        <v>83</v>
      </c>
      <c r="C19" s="2">
        <v>1033.6300000000001</v>
      </c>
      <c r="D19" s="11">
        <f t="shared" si="0"/>
        <v>2.6323436270024373E-2</v>
      </c>
      <c r="E19" s="2">
        <v>1128</v>
      </c>
      <c r="F19" s="11">
        <f t="shared" si="1"/>
        <v>2.610242842832141E-2</v>
      </c>
      <c r="G19" s="2"/>
      <c r="H19" s="4">
        <f t="shared" si="2"/>
        <v>94.369999999999891</v>
      </c>
      <c r="I19" s="11">
        <f t="shared" si="3"/>
        <v>9.1299594632508613E-2</v>
      </c>
    </row>
    <row r="20" spans="1:9" x14ac:dyDescent="0.25">
      <c r="A20" t="s">
        <v>74</v>
      </c>
      <c r="C20" s="2">
        <v>1102</v>
      </c>
      <c r="D20" s="11">
        <f t="shared" si="0"/>
        <v>2.8064613807229719E-2</v>
      </c>
      <c r="E20" s="2">
        <v>780.75</v>
      </c>
      <c r="F20" s="11">
        <f t="shared" si="1"/>
        <v>1.8066906910826189E-2</v>
      </c>
      <c r="G20" s="2"/>
      <c r="H20" s="4">
        <f t="shared" si="2"/>
        <v>-321.25</v>
      </c>
      <c r="I20" s="11">
        <f t="shared" si="3"/>
        <v>-0.29151542649727769</v>
      </c>
    </row>
    <row r="21" spans="1:9" x14ac:dyDescent="0.25">
      <c r="D21" s="11"/>
      <c r="F21" s="11"/>
      <c r="G21" s="2"/>
      <c r="H21" s="4"/>
      <c r="I21" s="11"/>
    </row>
    <row r="22" spans="1:9" x14ac:dyDescent="0.25">
      <c r="A22" t="s">
        <v>59</v>
      </c>
      <c r="C22" s="2">
        <v>1712.25</v>
      </c>
      <c r="D22" s="11">
        <f>C22/$C$23</f>
        <v>4.3605839375162513E-2</v>
      </c>
      <c r="E22" s="2">
        <v>1712.25</v>
      </c>
      <c r="F22" s="11">
        <f>E22/$E$23</f>
        <v>3.962223676985225E-2</v>
      </c>
      <c r="G22" s="2"/>
      <c r="H22" s="4">
        <f>E22-C22</f>
        <v>0</v>
      </c>
      <c r="I22" s="11"/>
    </row>
    <row r="23" spans="1:9" ht="15.75" thickBot="1" x14ac:dyDescent="0.3">
      <c r="C23" s="23">
        <f>SUM(C2:C22)</f>
        <v>39266.53</v>
      </c>
      <c r="E23" s="23">
        <f>SUM(E2:E22)</f>
        <v>43214.37</v>
      </c>
      <c r="F23" s="24"/>
      <c r="G23" s="24"/>
      <c r="H23" s="4">
        <f>SUM(H2:H22)</f>
        <v>3947.8400000000011</v>
      </c>
      <c r="I23" s="11">
        <f>H23/C23</f>
        <v>0.10053956894077479</v>
      </c>
    </row>
    <row r="24" spans="1:9" ht="15.75" thickTop="1" x14ac:dyDescent="0.25"/>
  </sheetData>
  <sortState ref="A2:I20">
    <sortCondition descending="1" ref="E2:E20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1"/>
  <sheetViews>
    <sheetView showGridLines="0" tabSelected="1" zoomScale="70" zoomScaleNormal="70" workbookViewId="0">
      <pane xSplit="1" topLeftCell="B1" activePane="topRight" state="frozen"/>
      <selection pane="topRight" activeCell="R13" sqref="R13"/>
    </sheetView>
  </sheetViews>
  <sheetFormatPr defaultRowHeight="12.75" x14ac:dyDescent="0.2"/>
  <cols>
    <col min="1" max="1" width="7.85546875" style="59" customWidth="1"/>
    <col min="2" max="2" width="13.140625" style="59" bestFit="1" customWidth="1"/>
    <col min="3" max="3" width="9.7109375" style="59" bestFit="1" customWidth="1"/>
    <col min="4" max="4" width="8.85546875" style="59" bestFit="1" customWidth="1"/>
    <col min="5" max="5" width="10.140625" style="59" bestFit="1" customWidth="1"/>
    <col min="6" max="6" width="8.85546875" style="59" bestFit="1" customWidth="1"/>
    <col min="7" max="7" width="10.140625" style="59" bestFit="1" customWidth="1"/>
    <col min="8" max="8" width="11" style="59" bestFit="1" customWidth="1"/>
    <col min="9" max="9" width="10.5703125" style="59" bestFit="1" customWidth="1"/>
    <col min="10" max="10" width="10.140625" style="59" bestFit="1" customWidth="1"/>
    <col min="11" max="11" width="11" style="59" bestFit="1" customWidth="1"/>
    <col min="12" max="12" width="10.5703125" style="59" bestFit="1" customWidth="1"/>
    <col min="13" max="13" width="10" style="59" bestFit="1" customWidth="1"/>
    <col min="14" max="14" width="11" style="59" bestFit="1" customWidth="1"/>
    <col min="15" max="15" width="10.5703125" style="65" bestFit="1" customWidth="1"/>
    <col min="16" max="16" width="10" style="59" bestFit="1" customWidth="1"/>
    <col min="17" max="17" width="11.5703125" style="59" bestFit="1" customWidth="1"/>
    <col min="18" max="18" width="9.5703125" style="59" bestFit="1" customWidth="1"/>
    <col min="19" max="19" width="15" style="59" bestFit="1" customWidth="1"/>
    <col min="20" max="20" width="8.85546875" style="59" bestFit="1" customWidth="1"/>
    <col min="21" max="21" width="13.140625" style="59" bestFit="1" customWidth="1"/>
    <col min="22" max="22" width="10" style="59" bestFit="1" customWidth="1"/>
    <col min="23" max="23" width="11.5703125" style="59" bestFit="1" customWidth="1"/>
    <col min="24" max="16384" width="9.140625" style="59"/>
  </cols>
  <sheetData>
    <row r="1" spans="1:25" x14ac:dyDescent="0.2">
      <c r="B1" s="60" t="s">
        <v>67</v>
      </c>
      <c r="C1" s="60" t="s">
        <v>28</v>
      </c>
      <c r="D1" s="60" t="s">
        <v>29</v>
      </c>
      <c r="E1" s="60" t="s">
        <v>30</v>
      </c>
      <c r="F1" s="60" t="s">
        <v>31</v>
      </c>
      <c r="G1" s="60" t="s">
        <v>5</v>
      </c>
      <c r="H1" s="60" t="s">
        <v>32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104</v>
      </c>
      <c r="P1" s="62" t="s">
        <v>97</v>
      </c>
      <c r="Q1" s="63" t="s">
        <v>99</v>
      </c>
      <c r="R1" s="60" t="s">
        <v>98</v>
      </c>
      <c r="S1" s="62" t="s">
        <v>27</v>
      </c>
      <c r="T1" s="60" t="s">
        <v>64</v>
      </c>
      <c r="U1" s="60" t="s">
        <v>94</v>
      </c>
      <c r="V1" s="60" t="s">
        <v>95</v>
      </c>
      <c r="W1" s="60" t="s">
        <v>96</v>
      </c>
    </row>
    <row r="2" spans="1:25" x14ac:dyDescent="0.2">
      <c r="A2" s="64" t="s">
        <v>16</v>
      </c>
    </row>
    <row r="3" spans="1:25" x14ac:dyDescent="0.2">
      <c r="A3" s="59" t="s">
        <v>88</v>
      </c>
      <c r="B3" s="66">
        <f t="shared" ref="B3" si="0">SUM(C3:N3)</f>
        <v>36.9</v>
      </c>
      <c r="C3" s="67">
        <v>0</v>
      </c>
      <c r="D3" s="67">
        <v>8.5500000000000007</v>
      </c>
      <c r="E3" s="67">
        <v>0</v>
      </c>
      <c r="F3" s="67">
        <v>0</v>
      </c>
      <c r="G3" s="67">
        <v>9.4499999999999993</v>
      </c>
      <c r="H3" s="67">
        <v>0</v>
      </c>
      <c r="I3" s="67">
        <v>0</v>
      </c>
      <c r="J3" s="68">
        <f>G3</f>
        <v>9.4499999999999993</v>
      </c>
      <c r="K3" s="67">
        <v>0</v>
      </c>
      <c r="L3" s="67">
        <v>0</v>
      </c>
      <c r="M3" s="68">
        <f>J3</f>
        <v>9.4499999999999993</v>
      </c>
      <c r="N3" s="67">
        <v>0</v>
      </c>
      <c r="O3" s="65">
        <v>15</v>
      </c>
      <c r="P3" s="70">
        <f>0.63*4</f>
        <v>2.52</v>
      </c>
      <c r="Q3" s="71">
        <f t="shared" ref="Q3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2234.4</v>
      </c>
      <c r="V3" s="73">
        <f>Q3/U3</f>
        <v>1.6917293233082706E-2</v>
      </c>
      <c r="W3" s="72">
        <f t="shared" ref="W3" si="2">U3-S3</f>
        <v>684.15000000000009</v>
      </c>
      <c r="X3" s="74"/>
      <c r="Y3" s="74">
        <v>42942</v>
      </c>
    </row>
    <row r="4" spans="1:25" x14ac:dyDescent="0.2">
      <c r="A4" s="59" t="s">
        <v>24</v>
      </c>
      <c r="B4" s="66">
        <f t="shared" ref="B4:B21" si="3">SUM(C4:N4)</f>
        <v>170.14999999999998</v>
      </c>
      <c r="C4" s="75">
        <v>13.55</v>
      </c>
      <c r="D4" s="67">
        <v>13.66</v>
      </c>
      <c r="E4" s="67">
        <v>13.78</v>
      </c>
      <c r="F4" s="67">
        <v>13.9</v>
      </c>
      <c r="G4" s="67">
        <v>14.01</v>
      </c>
      <c r="H4" s="67">
        <v>14.12</v>
      </c>
      <c r="I4" s="68">
        <f>H4+0.11</f>
        <v>14.229999999999999</v>
      </c>
      <c r="J4" s="68">
        <f>I4+0.11</f>
        <v>14.339999999999998</v>
      </c>
      <c r="K4" s="68">
        <f>J4+0.12</f>
        <v>14.459999999999997</v>
      </c>
      <c r="L4" s="68">
        <f>K4+0.12</f>
        <v>14.579999999999997</v>
      </c>
      <c r="M4" s="68">
        <f>L4+0.12</f>
        <v>14.699999999999996</v>
      </c>
      <c r="N4" s="68">
        <f>M4+0.12</f>
        <v>14.819999999999995</v>
      </c>
      <c r="O4" s="65">
        <v>74.287000000000006</v>
      </c>
      <c r="P4" s="71">
        <f>0.19*12</f>
        <v>2.2800000000000002</v>
      </c>
      <c r="Q4" s="71">
        <f t="shared" ref="Q4:Q21" si="4">O4*P4</f>
        <v>169.37436000000002</v>
      </c>
      <c r="R4" s="72">
        <f t="shared" ref="R4:R11" si="5">S4/O4</f>
        <v>30.086286968110166</v>
      </c>
      <c r="S4" s="72">
        <v>2235.02</v>
      </c>
      <c r="T4" s="73">
        <f t="shared" ref="T4:T21" si="6">P4/R4</f>
        <v>7.5782033270395802E-2</v>
      </c>
      <c r="U4" s="70">
        <v>1868.52</v>
      </c>
      <c r="V4" s="73">
        <f t="shared" ref="V4:V21" si="7">Q4/U4</f>
        <v>9.0646265493545708E-2</v>
      </c>
      <c r="W4" s="72">
        <f t="shared" ref="W4:W21" si="8">U4-S4</f>
        <v>-366.5</v>
      </c>
      <c r="X4" s="74">
        <v>42915</v>
      </c>
      <c r="Y4" s="74"/>
    </row>
    <row r="5" spans="1:25" x14ac:dyDescent="0.2">
      <c r="A5" s="59" t="s">
        <v>92</v>
      </c>
      <c r="B5" s="66">
        <f t="shared" ref="B5" si="9">SUM(C5:N5)</f>
        <v>85.2</v>
      </c>
      <c r="C5" s="67">
        <v>0</v>
      </c>
      <c r="D5" s="67">
        <v>0</v>
      </c>
      <c r="E5" s="67">
        <v>21.3</v>
      </c>
      <c r="F5" s="67">
        <v>0</v>
      </c>
      <c r="G5" s="67">
        <v>0</v>
      </c>
      <c r="H5" s="67">
        <v>21.3</v>
      </c>
      <c r="I5" s="67">
        <v>0</v>
      </c>
      <c r="J5" s="67">
        <v>0</v>
      </c>
      <c r="K5" s="67">
        <f>H5</f>
        <v>21.3</v>
      </c>
      <c r="L5" s="67">
        <v>0</v>
      </c>
      <c r="M5" s="67">
        <v>0</v>
      </c>
      <c r="N5" s="68">
        <f>K5</f>
        <v>21.3</v>
      </c>
      <c r="O5" s="65">
        <v>15</v>
      </c>
      <c r="P5" s="71">
        <f>1.42*4</f>
        <v>5.68</v>
      </c>
      <c r="Q5" s="71">
        <f t="shared" si="4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2775.15</v>
      </c>
      <c r="V5" s="73">
        <f>Q5/U5</f>
        <v>3.0701043186854758E-2</v>
      </c>
      <c r="W5" s="72">
        <f t="shared" ref="W5" si="10">U5-S5</f>
        <v>854.80000000000018</v>
      </c>
      <c r="X5" s="74">
        <v>42979</v>
      </c>
      <c r="Y5" s="74"/>
    </row>
    <row r="6" spans="1:25" x14ac:dyDescent="0.2">
      <c r="A6" s="59" t="s">
        <v>83</v>
      </c>
      <c r="B6" s="66">
        <f t="shared" si="3"/>
        <v>45.104200000000006</v>
      </c>
      <c r="C6" s="67">
        <v>11.28</v>
      </c>
      <c r="D6" s="67">
        <v>0</v>
      </c>
      <c r="E6" s="67">
        <v>0</v>
      </c>
      <c r="F6" s="67">
        <v>11.21</v>
      </c>
      <c r="G6" s="67">
        <v>0</v>
      </c>
      <c r="H6" s="67">
        <v>0</v>
      </c>
      <c r="I6" s="67">
        <v>11.14</v>
      </c>
      <c r="J6" s="67">
        <v>0</v>
      </c>
      <c r="K6" s="67">
        <v>0</v>
      </c>
      <c r="L6" s="69">
        <f>I6*1.03</f>
        <v>11.474200000000002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1123.8</v>
      </c>
      <c r="V6" s="73">
        <f t="shared" si="7"/>
        <v>3.772913329773981E-2</v>
      </c>
      <c r="W6" s="72">
        <f t="shared" si="8"/>
        <v>90.169999999999845</v>
      </c>
      <c r="X6" s="74">
        <v>42943</v>
      </c>
      <c r="Y6" s="74"/>
    </row>
    <row r="7" spans="1:25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7">
        <v>32.72</v>
      </c>
      <c r="F7" s="67">
        <v>0</v>
      </c>
      <c r="G7" s="67">
        <v>0</v>
      </c>
      <c r="H7" s="67"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4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1941.5</v>
      </c>
      <c r="V7" s="73">
        <f t="shared" si="7"/>
        <v>6.79886685552408E-2</v>
      </c>
      <c r="W7" s="72">
        <f t="shared" si="8"/>
        <v>-435.44999999999982</v>
      </c>
      <c r="X7" s="74"/>
      <c r="Y7" s="74"/>
    </row>
    <row r="8" spans="1:25" x14ac:dyDescent="0.2">
      <c r="A8" s="59" t="s">
        <v>90</v>
      </c>
      <c r="B8" s="66">
        <f t="shared" ref="B8" si="11">SUM(C8:N8)</f>
        <v>62.150000000000006</v>
      </c>
      <c r="C8" s="67">
        <v>14.3</v>
      </c>
      <c r="D8" s="67">
        <v>0</v>
      </c>
      <c r="E8" s="67">
        <v>0</v>
      </c>
      <c r="F8" s="67">
        <v>15.95</v>
      </c>
      <c r="G8" s="67">
        <v>0</v>
      </c>
      <c r="H8" s="67">
        <v>0</v>
      </c>
      <c r="I8" s="67">
        <v>15.95</v>
      </c>
      <c r="J8" s="67">
        <v>0</v>
      </c>
      <c r="K8" s="67">
        <v>0</v>
      </c>
      <c r="L8" s="68">
        <f>I8</f>
        <v>15.95</v>
      </c>
      <c r="M8" s="67">
        <v>0</v>
      </c>
      <c r="N8" s="67">
        <v>0</v>
      </c>
      <c r="O8" s="65">
        <v>55</v>
      </c>
      <c r="P8" s="71">
        <v>1.1599999999999999</v>
      </c>
      <c r="Q8" s="70">
        <f t="shared" si="4"/>
        <v>63.8</v>
      </c>
      <c r="R8" s="72">
        <f>S8/O8</f>
        <v>23.256363636363634</v>
      </c>
      <c r="S8" s="72">
        <v>1279.0999999999999</v>
      </c>
      <c r="T8" s="73">
        <f>P8/R8</f>
        <v>4.9878821046048002E-2</v>
      </c>
      <c r="U8" s="70">
        <v>1891.45</v>
      </c>
      <c r="V8" s="73">
        <f>Q8/U8</f>
        <v>3.3730735678976442E-2</v>
      </c>
      <c r="W8" s="72">
        <f t="shared" ref="W8" si="12">U8-S8</f>
        <v>612.35000000000014</v>
      </c>
      <c r="X8" s="74">
        <v>42942</v>
      </c>
      <c r="Y8" s="74"/>
    </row>
    <row r="9" spans="1:25" x14ac:dyDescent="0.2">
      <c r="A9" s="59" t="s">
        <v>18</v>
      </c>
      <c r="B9" s="66">
        <f t="shared" si="3"/>
        <v>133.12</v>
      </c>
      <c r="C9" s="67">
        <v>0</v>
      </c>
      <c r="D9" s="67">
        <v>0</v>
      </c>
      <c r="E9" s="67">
        <f>30.72+10.24</f>
        <v>40.96</v>
      </c>
      <c r="F9" s="67">
        <v>0</v>
      </c>
      <c r="G9" s="67">
        <v>0</v>
      </c>
      <c r="H9" s="67"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0.65</v>
      </c>
      <c r="Q9" s="71">
        <f t="shared" si="4"/>
        <v>133.11870000000002</v>
      </c>
      <c r="R9" s="72">
        <f t="shared" si="5"/>
        <v>12.055439994531195</v>
      </c>
      <c r="S9" s="72">
        <v>2468.9299999999998</v>
      </c>
      <c r="T9" s="73">
        <f t="shared" si="6"/>
        <v>5.3917567529253571E-2</v>
      </c>
      <c r="U9" s="70">
        <v>2281.4499999999998</v>
      </c>
      <c r="V9" s="73">
        <f t="shared" si="7"/>
        <v>5.834828727344453E-2</v>
      </c>
      <c r="W9" s="72">
        <f t="shared" si="8"/>
        <v>-187.48000000000002</v>
      </c>
      <c r="X9" s="74"/>
      <c r="Y9" s="74">
        <v>42930</v>
      </c>
    </row>
    <row r="10" spans="1:25" x14ac:dyDescent="0.2">
      <c r="A10" s="59" t="s">
        <v>72</v>
      </c>
      <c r="B10" s="66">
        <f t="shared" si="3"/>
        <v>96</v>
      </c>
      <c r="C10" s="67">
        <v>24</v>
      </c>
      <c r="D10" s="67">
        <v>0</v>
      </c>
      <c r="E10" s="67">
        <v>0</v>
      </c>
      <c r="F10" s="67">
        <v>24</v>
      </c>
      <c r="G10" s="67">
        <v>0</v>
      </c>
      <c r="H10" s="67">
        <v>0</v>
      </c>
      <c r="I10" s="67">
        <v>24</v>
      </c>
      <c r="J10" s="67">
        <v>0</v>
      </c>
      <c r="K10" s="67">
        <v>0</v>
      </c>
      <c r="L10" s="68">
        <f>I10</f>
        <v>24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4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2922</v>
      </c>
      <c r="V10" s="73">
        <f t="shared" si="7"/>
        <v>3.2854209445585217E-2</v>
      </c>
      <c r="W10" s="72">
        <f t="shared" si="8"/>
        <v>421.34999999999991</v>
      </c>
      <c r="X10" s="74">
        <v>42941</v>
      </c>
      <c r="Y10" s="74"/>
    </row>
    <row r="11" spans="1:25" x14ac:dyDescent="0.2">
      <c r="A11" s="59" t="s">
        <v>74</v>
      </c>
      <c r="B11" s="66">
        <f t="shared" si="3"/>
        <v>37</v>
      </c>
      <c r="C11" s="67">
        <v>0</v>
      </c>
      <c r="D11" s="67">
        <v>0</v>
      </c>
      <c r="E11" s="67">
        <v>9.25</v>
      </c>
      <c r="F11" s="67">
        <v>0</v>
      </c>
      <c r="G11" s="67">
        <v>9.25</v>
      </c>
      <c r="H11" s="67">
        <v>0</v>
      </c>
      <c r="I11" s="67">
        <v>0</v>
      </c>
      <c r="J11" s="68">
        <f>G11</f>
        <v>9.25</v>
      </c>
      <c r="K11" s="67">
        <v>0</v>
      </c>
      <c r="L11" s="67">
        <v>0</v>
      </c>
      <c r="M11" s="68">
        <f>J11</f>
        <v>9.25</v>
      </c>
      <c r="N11" s="67">
        <v>0</v>
      </c>
      <c r="O11" s="65">
        <v>25</v>
      </c>
      <c r="P11" s="71">
        <v>1.48</v>
      </c>
      <c r="Q11" s="71">
        <f t="shared" si="4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752.25</v>
      </c>
      <c r="V11" s="73">
        <f t="shared" si="7"/>
        <v>4.9185776005317379E-2</v>
      </c>
      <c r="W11" s="72">
        <f t="shared" si="8"/>
        <v>-349.70000000000005</v>
      </c>
      <c r="X11" s="74"/>
      <c r="Y11" s="74">
        <v>42925</v>
      </c>
    </row>
    <row r="12" spans="1:25" x14ac:dyDescent="0.2">
      <c r="A12" s="59" t="s">
        <v>81</v>
      </c>
      <c r="B12" s="66">
        <f t="shared" si="3"/>
        <v>49.800000000000004</v>
      </c>
      <c r="C12" s="67">
        <v>0</v>
      </c>
      <c r="D12" s="67">
        <v>0</v>
      </c>
      <c r="E12" s="67">
        <v>12</v>
      </c>
      <c r="F12" s="67">
        <v>0</v>
      </c>
      <c r="G12" s="67">
        <v>0</v>
      </c>
      <c r="H12" s="67">
        <v>12.6</v>
      </c>
      <c r="I12" s="67">
        <v>0</v>
      </c>
      <c r="J12" s="67">
        <v>0</v>
      </c>
      <c r="K12" s="68">
        <f>H12</f>
        <v>12.6</v>
      </c>
      <c r="L12" s="67">
        <v>0</v>
      </c>
      <c r="M12" s="67">
        <v>0</v>
      </c>
      <c r="N12" s="68">
        <f>K12</f>
        <v>12.6</v>
      </c>
      <c r="O12" s="65">
        <v>15</v>
      </c>
      <c r="P12" s="71">
        <f>0.84*4</f>
        <v>3.36</v>
      </c>
      <c r="Q12" s="71">
        <f t="shared" si="4"/>
        <v>50.4</v>
      </c>
      <c r="R12" s="72">
        <v>101.07</v>
      </c>
      <c r="S12" s="72">
        <v>1516.02</v>
      </c>
      <c r="T12" s="73">
        <f t="shared" si="6"/>
        <v>3.3244286138319978E-2</v>
      </c>
      <c r="U12" s="70">
        <v>1852.65</v>
      </c>
      <c r="V12" s="73">
        <f t="shared" si="7"/>
        <v>2.7204274957493318E-2</v>
      </c>
      <c r="W12" s="72">
        <f t="shared" si="8"/>
        <v>336.63000000000011</v>
      </c>
      <c r="X12" s="74"/>
      <c r="Y12" s="74"/>
    </row>
    <row r="13" spans="1:25" x14ac:dyDescent="0.2">
      <c r="A13" s="59" t="s">
        <v>75</v>
      </c>
      <c r="B13" s="66">
        <f t="shared" si="3"/>
        <v>29.36</v>
      </c>
      <c r="C13" s="67">
        <v>0</v>
      </c>
      <c r="D13" s="67">
        <v>7.34</v>
      </c>
      <c r="E13" s="67">
        <v>0</v>
      </c>
      <c r="F13" s="67">
        <v>0</v>
      </c>
      <c r="G13" s="67"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4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1184.81</v>
      </c>
      <c r="V13" s="73">
        <f t="shared" si="7"/>
        <v>2.4764730209907073E-2</v>
      </c>
      <c r="W13" s="72">
        <f t="shared" si="8"/>
        <v>-1241.73</v>
      </c>
      <c r="X13" s="74"/>
      <c r="Y13" s="74">
        <v>42937</v>
      </c>
    </row>
    <row r="14" spans="1:25" x14ac:dyDescent="0.2">
      <c r="A14" s="59" t="s">
        <v>22</v>
      </c>
      <c r="B14" s="66">
        <f t="shared" si="3"/>
        <v>208.59571200000002</v>
      </c>
      <c r="C14" s="67">
        <v>16.71</v>
      </c>
      <c r="D14" s="67">
        <v>17.37</v>
      </c>
      <c r="E14" s="67">
        <v>17.37</v>
      </c>
      <c r="F14" s="67">
        <v>17.420000000000002</v>
      </c>
      <c r="G14" s="67">
        <v>17.420000000000002</v>
      </c>
      <c r="H14" s="67">
        <v>17.420000000000002</v>
      </c>
      <c r="I14" s="67">
        <v>17.46</v>
      </c>
      <c r="J14" s="68">
        <f>I14</f>
        <v>17.46</v>
      </c>
      <c r="K14" s="68">
        <f>J14</f>
        <v>17.46</v>
      </c>
      <c r="L14" s="68">
        <f>K14*1.0024</f>
        <v>17.501904</v>
      </c>
      <c r="M14" s="68">
        <f>L14</f>
        <v>17.501904</v>
      </c>
      <c r="N14" s="68">
        <f>M14</f>
        <v>17.501904</v>
      </c>
      <c r="O14" s="65">
        <v>82.540999999999997</v>
      </c>
      <c r="P14" s="71">
        <f>0.2115*12</f>
        <v>2.5379999999999998</v>
      </c>
      <c r="Q14" s="71">
        <f t="shared" si="4"/>
        <v>209.48905799999997</v>
      </c>
      <c r="R14" s="72">
        <f>S14/O14</f>
        <v>39.442701203038489</v>
      </c>
      <c r="S14" s="72">
        <v>3255.64</v>
      </c>
      <c r="T14" s="73">
        <f t="shared" si="6"/>
        <v>6.4346505756164685E-2</v>
      </c>
      <c r="U14" s="70">
        <v>4673.47</v>
      </c>
      <c r="V14" s="73">
        <f t="shared" si="7"/>
        <v>4.482516374342832E-2</v>
      </c>
      <c r="W14" s="72">
        <f t="shared" si="8"/>
        <v>1417.8300000000004</v>
      </c>
      <c r="X14" s="74">
        <v>42931</v>
      </c>
      <c r="Y14" s="74"/>
    </row>
    <row r="15" spans="1:25" x14ac:dyDescent="0.2">
      <c r="A15" s="59" t="s">
        <v>71</v>
      </c>
      <c r="B15" s="66">
        <f t="shared" si="3"/>
        <v>51.2</v>
      </c>
      <c r="C15" s="67">
        <v>0</v>
      </c>
      <c r="D15" s="67">
        <v>0</v>
      </c>
      <c r="E15" s="75">
        <v>12.8</v>
      </c>
      <c r="F15" s="67">
        <v>0</v>
      </c>
      <c r="G15" s="67">
        <v>0</v>
      </c>
      <c r="H15" s="67">
        <v>12.8</v>
      </c>
      <c r="I15" s="67">
        <v>0</v>
      </c>
      <c r="J15" s="67">
        <v>0</v>
      </c>
      <c r="K15" s="68">
        <f>H15</f>
        <v>12.8</v>
      </c>
      <c r="L15" s="67">
        <v>0</v>
      </c>
      <c r="M15" s="67">
        <v>0</v>
      </c>
      <c r="N15" s="68">
        <f>K15</f>
        <v>12.8</v>
      </c>
      <c r="O15" s="77">
        <v>40</v>
      </c>
      <c r="P15" s="71">
        <f>0.32*4</f>
        <v>1.28</v>
      </c>
      <c r="Q15" s="71">
        <f t="shared" si="4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1339.2</v>
      </c>
      <c r="V15" s="73">
        <f t="shared" si="7"/>
        <v>3.8231780167264036E-2</v>
      </c>
      <c r="W15" s="72">
        <f t="shared" si="8"/>
        <v>102.85000000000014</v>
      </c>
      <c r="X15" s="74">
        <v>42979</v>
      </c>
      <c r="Y15" s="74"/>
    </row>
    <row r="16" spans="1:25" x14ac:dyDescent="0.2">
      <c r="A16" s="59" t="s">
        <v>69</v>
      </c>
      <c r="B16" s="66">
        <f t="shared" si="3"/>
        <v>64.119</v>
      </c>
      <c r="C16" s="67">
        <v>15.95</v>
      </c>
      <c r="D16" s="70">
        <v>0</v>
      </c>
      <c r="E16" s="70">
        <v>0</v>
      </c>
      <c r="F16" s="67">
        <v>15.95</v>
      </c>
      <c r="G16" s="70">
        <v>0</v>
      </c>
      <c r="H16" s="70">
        <v>0</v>
      </c>
      <c r="I16" s="67">
        <v>15.95</v>
      </c>
      <c r="J16" s="70">
        <v>0</v>
      </c>
      <c r="K16" s="70">
        <v>0</v>
      </c>
      <c r="L16" s="69">
        <f>I16*1.02</f>
        <v>16.268999999999998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4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1721.13</v>
      </c>
      <c r="V16" s="73">
        <f t="shared" si="7"/>
        <v>3.7074371372296105E-2</v>
      </c>
      <c r="W16" s="72">
        <f t="shared" si="8"/>
        <v>477.18000000000006</v>
      </c>
      <c r="X16" s="74">
        <v>42927</v>
      </c>
      <c r="Y16" s="74"/>
    </row>
    <row r="17" spans="1:25" x14ac:dyDescent="0.2">
      <c r="A17" s="59" t="s">
        <v>17</v>
      </c>
      <c r="B17" s="66">
        <f t="shared" si="3"/>
        <v>98.639999999999986</v>
      </c>
      <c r="C17" s="70">
        <v>0</v>
      </c>
      <c r="D17" s="67">
        <v>12.41</v>
      </c>
      <c r="E17" s="70">
        <v>0</v>
      </c>
      <c r="F17" s="67">
        <v>0</v>
      </c>
      <c r="G17" s="67">
        <v>12.41</v>
      </c>
      <c r="H17" s="67">
        <v>0</v>
      </c>
      <c r="I17" s="67">
        <v>0</v>
      </c>
      <c r="J17" s="68">
        <v>36.909999999999997</v>
      </c>
      <c r="K17" s="67">
        <v>0</v>
      </c>
      <c r="L17" s="67">
        <v>0</v>
      </c>
      <c r="M17" s="68">
        <f>J17</f>
        <v>36.909999999999997</v>
      </c>
      <c r="N17" s="67">
        <v>0</v>
      </c>
      <c r="O17" s="65">
        <v>75.328999999999994</v>
      </c>
      <c r="P17" s="70">
        <v>1.96</v>
      </c>
      <c r="Q17" s="70">
        <f t="shared" si="4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2904.69</v>
      </c>
      <c r="V17" s="73">
        <f t="shared" si="7"/>
        <v>5.0829809721519334E-2</v>
      </c>
      <c r="W17" s="72">
        <f t="shared" si="8"/>
        <v>89.740000000000236</v>
      </c>
      <c r="X17" s="74"/>
      <c r="Y17" s="74">
        <v>42910</v>
      </c>
    </row>
    <row r="18" spans="1:25" x14ac:dyDescent="0.2">
      <c r="A18" s="59" t="s">
        <v>82</v>
      </c>
      <c r="B18" s="66">
        <f t="shared" si="3"/>
        <v>52.45</v>
      </c>
      <c r="C18" s="67">
        <v>12.64</v>
      </c>
      <c r="D18" s="67">
        <v>0</v>
      </c>
      <c r="E18" s="70">
        <v>0</v>
      </c>
      <c r="F18" s="67">
        <v>0</v>
      </c>
      <c r="G18" s="67">
        <v>13.17</v>
      </c>
      <c r="H18" s="67">
        <v>0</v>
      </c>
      <c r="I18" s="67">
        <v>13.32</v>
      </c>
      <c r="J18" s="67">
        <v>0</v>
      </c>
      <c r="K18" s="67">
        <v>0</v>
      </c>
      <c r="L18" s="68">
        <f>I18</f>
        <v>13.32</v>
      </c>
      <c r="M18" s="67">
        <v>0</v>
      </c>
      <c r="N18" s="67">
        <v>0</v>
      </c>
      <c r="O18" s="65">
        <v>30</v>
      </c>
      <c r="P18" s="70">
        <v>1.8</v>
      </c>
      <c r="Q18" s="70">
        <f t="shared" si="4"/>
        <v>54</v>
      </c>
      <c r="R18" s="72">
        <v>42.25</v>
      </c>
      <c r="S18" s="70">
        <v>1267.49</v>
      </c>
      <c r="T18" s="73">
        <f t="shared" si="6"/>
        <v>4.2603550295857988E-2</v>
      </c>
      <c r="U18" s="70">
        <v>1408.5</v>
      </c>
      <c r="V18" s="73">
        <f t="shared" si="7"/>
        <v>3.8338658146964855E-2</v>
      </c>
      <c r="W18" s="72">
        <f t="shared" si="8"/>
        <v>141.01</v>
      </c>
      <c r="X18" s="74">
        <v>42947</v>
      </c>
      <c r="Y18" s="74"/>
    </row>
    <row r="19" spans="1:25" x14ac:dyDescent="0.2">
      <c r="A19" s="59" t="s">
        <v>68</v>
      </c>
      <c r="B19" s="66">
        <f t="shared" si="3"/>
        <v>147.23000000000002</v>
      </c>
      <c r="C19" s="70">
        <v>0</v>
      </c>
      <c r="D19" s="70">
        <v>0</v>
      </c>
      <c r="E19" s="67">
        <v>33.89</v>
      </c>
      <c r="F19" s="70">
        <v>0</v>
      </c>
      <c r="G19" s="70">
        <v>0</v>
      </c>
      <c r="H19" s="67">
        <v>37.78</v>
      </c>
      <c r="I19" s="70">
        <v>0</v>
      </c>
      <c r="J19" s="70">
        <v>0</v>
      </c>
      <c r="K19" s="68">
        <f>H19</f>
        <v>37.78</v>
      </c>
      <c r="L19" s="70">
        <v>0</v>
      </c>
      <c r="M19" s="70">
        <v>0</v>
      </c>
      <c r="N19" s="68">
        <f>K19</f>
        <v>37.78</v>
      </c>
      <c r="O19" s="65">
        <v>100</v>
      </c>
      <c r="P19" s="70">
        <f>0.3828*4</f>
        <v>1.5311999999999999</v>
      </c>
      <c r="Q19" s="70">
        <f t="shared" si="4"/>
        <v>153.11999999999998</v>
      </c>
      <c r="R19" s="72">
        <v>39.590000000000003</v>
      </c>
      <c r="S19" s="70">
        <v>3962.41</v>
      </c>
      <c r="T19" s="73">
        <f t="shared" si="6"/>
        <v>3.867643344278858E-2</v>
      </c>
      <c r="U19" s="70">
        <v>5171</v>
      </c>
      <c r="V19" s="73">
        <f t="shared" si="7"/>
        <v>2.9611293753625985E-2</v>
      </c>
      <c r="W19" s="72">
        <f t="shared" si="8"/>
        <v>1208.5900000000001</v>
      </c>
      <c r="X19" s="74"/>
      <c r="Y19" s="74">
        <v>42938</v>
      </c>
    </row>
    <row r="20" spans="1:25" x14ac:dyDescent="0.2">
      <c r="A20" s="59" t="s">
        <v>91</v>
      </c>
      <c r="B20" s="66">
        <f t="shared" ref="B20" si="13">SUM(C20:N20)</f>
        <v>60.8</v>
      </c>
      <c r="C20" s="70">
        <v>0</v>
      </c>
      <c r="D20" s="70">
        <v>0</v>
      </c>
      <c r="E20" s="67">
        <v>15.2</v>
      </c>
      <c r="F20" s="70">
        <v>0</v>
      </c>
      <c r="G20" s="70">
        <v>0</v>
      </c>
      <c r="H20" s="67">
        <v>15.2</v>
      </c>
      <c r="I20" s="70">
        <v>0</v>
      </c>
      <c r="J20" s="70">
        <v>0</v>
      </c>
      <c r="K20" s="68">
        <f>H20</f>
        <v>15.2</v>
      </c>
      <c r="L20" s="70">
        <v>0</v>
      </c>
      <c r="M20" s="70">
        <v>0</v>
      </c>
      <c r="N20" s="68">
        <f>K20</f>
        <v>15.2</v>
      </c>
      <c r="O20" s="65">
        <v>40</v>
      </c>
      <c r="P20" s="70">
        <v>1.52</v>
      </c>
      <c r="Q20" s="70">
        <f t="shared" si="4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2204.4</v>
      </c>
      <c r="V20" s="73">
        <f>Q20/U20</f>
        <v>2.7581201233895843E-2</v>
      </c>
      <c r="W20" s="72">
        <f t="shared" ref="W20" si="14">U20-S20</f>
        <v>278.85000000000014</v>
      </c>
      <c r="X20" s="74"/>
      <c r="Y20" s="74">
        <v>42942</v>
      </c>
    </row>
    <row r="21" spans="1:25" x14ac:dyDescent="0.2">
      <c r="A21" s="59" t="s">
        <v>73</v>
      </c>
      <c r="B21" s="66">
        <f t="shared" si="3"/>
        <v>45.900000000000006</v>
      </c>
      <c r="C21" s="70">
        <v>0</v>
      </c>
      <c r="D21" s="70">
        <v>0</v>
      </c>
      <c r="E21" s="67">
        <v>11.25</v>
      </c>
      <c r="F21" s="70">
        <v>0</v>
      </c>
      <c r="G21" s="70">
        <v>0</v>
      </c>
      <c r="H21" s="67">
        <v>11.55</v>
      </c>
      <c r="I21" s="70">
        <v>0</v>
      </c>
      <c r="J21" s="70">
        <v>0</v>
      </c>
      <c r="K21" s="68">
        <f>H21</f>
        <v>11.55</v>
      </c>
      <c r="L21" s="70">
        <v>0</v>
      </c>
      <c r="M21" s="70">
        <v>0</v>
      </c>
      <c r="N21" s="68">
        <f>K21</f>
        <v>11.55</v>
      </c>
      <c r="O21" s="65">
        <v>15</v>
      </c>
      <c r="P21" s="70">
        <v>3.08</v>
      </c>
      <c r="Q21" s="70">
        <f t="shared" si="4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1230.3</v>
      </c>
      <c r="V21" s="73">
        <f t="shared" si="7"/>
        <v>3.7551816630090225E-2</v>
      </c>
      <c r="W21" s="72">
        <f t="shared" si="8"/>
        <v>-195.45000000000005</v>
      </c>
      <c r="X21" s="74"/>
      <c r="Y21" s="74">
        <v>42943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f>1379.53+300+32.72</f>
        <v>1712.25</v>
      </c>
    </row>
    <row r="23" spans="1:25" s="64" customFormat="1" x14ac:dyDescent="0.2">
      <c r="A23" s="78"/>
      <c r="B23" s="79">
        <f>SUM(C23:N23)</f>
        <v>1604.5989119999999</v>
      </c>
      <c r="C23" s="79">
        <f t="shared" ref="C23:N23" si="15">SUM(C3:C21)</f>
        <v>108.43</v>
      </c>
      <c r="D23" s="79">
        <f t="shared" si="15"/>
        <v>59.33</v>
      </c>
      <c r="E23" s="79">
        <f t="shared" si="15"/>
        <v>220.51999999999998</v>
      </c>
      <c r="F23" s="79">
        <f t="shared" si="15"/>
        <v>98.43</v>
      </c>
      <c r="G23" s="79">
        <f t="shared" si="15"/>
        <v>83.05</v>
      </c>
      <c r="H23" s="79">
        <f t="shared" si="15"/>
        <v>206.21</v>
      </c>
      <c r="I23" s="79">
        <f t="shared" si="15"/>
        <v>112.05000000000001</v>
      </c>
      <c r="J23" s="79">
        <f t="shared" si="15"/>
        <v>94.75</v>
      </c>
      <c r="K23" s="79">
        <f t="shared" si="15"/>
        <v>206.59</v>
      </c>
      <c r="L23" s="79">
        <f t="shared" si="15"/>
        <v>113.09510399999999</v>
      </c>
      <c r="M23" s="79">
        <f t="shared" si="15"/>
        <v>95.151903999999988</v>
      </c>
      <c r="N23" s="79">
        <f t="shared" si="15"/>
        <v>206.99190400000001</v>
      </c>
      <c r="O23" s="80"/>
      <c r="Q23" s="81">
        <f>SUM(Q3:Q21)</f>
        <v>1662.6982707999996</v>
      </c>
      <c r="R23" s="78"/>
      <c r="S23" s="81">
        <f>SUM(S3:S21)</f>
        <v>37541.48000000001</v>
      </c>
      <c r="T23" s="82">
        <f>Q23/S23</f>
        <v>4.4289630318250617E-2</v>
      </c>
      <c r="U23" s="81">
        <f>SUM(U3:U22)</f>
        <v>43192.920000000006</v>
      </c>
      <c r="V23" s="82">
        <f>B23/U23</f>
        <v>3.7149581737006894E-2</v>
      </c>
      <c r="W23" s="81">
        <f>SUM(W3:W22)</f>
        <v>3939.1900000000014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2016</v>
      </c>
      <c r="B25" s="70">
        <f>SUM(C25:N25)</f>
        <v>1447.96</v>
      </c>
      <c r="C25" s="67">
        <v>95.57</v>
      </c>
      <c r="D25" s="67">
        <v>90.33</v>
      </c>
      <c r="E25" s="67">
        <v>170.46999999999997</v>
      </c>
      <c r="F25" s="67">
        <v>111.43</v>
      </c>
      <c r="G25" s="67">
        <v>84.85</v>
      </c>
      <c r="H25" s="67">
        <v>159.32</v>
      </c>
      <c r="I25" s="67">
        <v>107.97</v>
      </c>
      <c r="J25" s="67">
        <v>85.38</v>
      </c>
      <c r="K25" s="67">
        <v>175.87</v>
      </c>
      <c r="L25" s="67">
        <v>109.27</v>
      </c>
      <c r="M25" s="67">
        <v>80.89</v>
      </c>
      <c r="N25" s="67">
        <v>176.61</v>
      </c>
      <c r="T25" s="84" t="s">
        <v>84</v>
      </c>
      <c r="U25" s="70">
        <f>4.95</f>
        <v>4.95</v>
      </c>
    </row>
    <row r="26" spans="1:25" x14ac:dyDescent="0.2">
      <c r="A26" s="83" t="s">
        <v>105</v>
      </c>
      <c r="B26" s="73">
        <f t="shared" ref="B26:N26" si="16">(B23-B25)/B25</f>
        <v>0.10817903256996042</v>
      </c>
      <c r="C26" s="73">
        <f t="shared" si="16"/>
        <v>0.13456105472428601</v>
      </c>
      <c r="D26" s="73">
        <f t="shared" si="16"/>
        <v>-0.34318609542787559</v>
      </c>
      <c r="E26" s="73">
        <f t="shared" si="16"/>
        <v>0.29360004692907854</v>
      </c>
      <c r="F26" s="73">
        <f t="shared" si="16"/>
        <v>-0.11666517095934667</v>
      </c>
      <c r="G26" s="73">
        <f t="shared" si="16"/>
        <v>-2.1213906894519709E-2</v>
      </c>
      <c r="H26" s="73">
        <f t="shared" si="16"/>
        <v>0.2943133316595532</v>
      </c>
      <c r="I26" s="73">
        <f t="shared" si="16"/>
        <v>3.7788274520700313E-2</v>
      </c>
      <c r="J26" s="73">
        <f t="shared" si="16"/>
        <v>0.10974467088311086</v>
      </c>
      <c r="K26" s="73">
        <f t="shared" si="16"/>
        <v>0.17467447546483197</v>
      </c>
      <c r="L26" s="73">
        <f t="shared" si="16"/>
        <v>3.5005985174338762E-2</v>
      </c>
      <c r="M26" s="73">
        <f t="shared" si="16"/>
        <v>0.17631232538014571</v>
      </c>
      <c r="N26" s="73">
        <f t="shared" si="16"/>
        <v>0.17202822037257226</v>
      </c>
      <c r="T26" s="84" t="s">
        <v>85</v>
      </c>
      <c r="U26" s="85">
        <f>U25/U23</f>
        <v>1.146021153466818E-4</v>
      </c>
    </row>
    <row r="27" spans="1:25" x14ac:dyDescent="0.2">
      <c r="B27" s="86"/>
      <c r="T27" s="84"/>
      <c r="U27" s="73"/>
    </row>
    <row r="29" spans="1:25" x14ac:dyDescent="0.2">
      <c r="A29" s="60" t="s">
        <v>44</v>
      </c>
      <c r="B29" s="87" t="s">
        <v>45</v>
      </c>
      <c r="I29" s="70"/>
      <c r="J29" s="70"/>
      <c r="K29" s="70"/>
    </row>
    <row r="30" spans="1:25" x14ac:dyDescent="0.2">
      <c r="I30" s="70"/>
      <c r="J30" s="70"/>
      <c r="K30" s="70"/>
    </row>
    <row r="31" spans="1:25" x14ac:dyDescent="0.2">
      <c r="I31" s="70"/>
      <c r="J31" s="70"/>
      <c r="K31" s="70"/>
    </row>
  </sheetData>
  <pageMargins left="0.7" right="0.7" top="0.75" bottom="0.75" header="0.3" footer="0.3"/>
  <pageSetup scale="57" fitToHeight="0" orientation="landscape" r:id="rId1"/>
  <ignoredErrors>
    <ignoredError sqref="B21 B6:B7 B9:B18 B3:B4 B19" formulaRange="1"/>
    <ignoredError sqref="V23 B8 B5 F15:G15 J14:K14 F17 H17:I17 K17:L17 G16:H16 I15:L15 J16:L16" formula="1"/>
    <ignoredError sqref="B20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showGridLines="0" zoomScale="70" zoomScaleNormal="70" workbookViewId="0">
      <pane xSplit="1" topLeftCell="B1" activePane="topRight" state="frozen"/>
      <selection pane="topRight" activeCell="E15" sqref="E15"/>
    </sheetView>
  </sheetViews>
  <sheetFormatPr defaultRowHeight="12.75" x14ac:dyDescent="0.2"/>
  <cols>
    <col min="1" max="1" width="10" style="59" customWidth="1"/>
    <col min="2" max="2" width="12.85546875" style="59" bestFit="1" customWidth="1"/>
    <col min="3" max="3" width="10.5703125" style="59" bestFit="1" customWidth="1"/>
    <col min="4" max="4" width="10" style="59" bestFit="1" customWidth="1"/>
    <col min="5" max="5" width="11.42578125" style="59" bestFit="1" customWidth="1"/>
    <col min="6" max="6" width="10.5703125" style="59" bestFit="1" customWidth="1"/>
    <col min="7" max="7" width="10.140625" style="59" bestFit="1" customWidth="1"/>
    <col min="8" max="8" width="11" style="59" bestFit="1" customWidth="1"/>
    <col min="9" max="9" width="10.5703125" style="59" bestFit="1" customWidth="1"/>
    <col min="10" max="10" width="10.140625" style="59" bestFit="1" customWidth="1"/>
    <col min="11" max="11" width="11" style="59" bestFit="1" customWidth="1"/>
    <col min="12" max="12" width="10.140625" style="59" bestFit="1" customWidth="1"/>
    <col min="13" max="13" width="10" style="59" bestFit="1" customWidth="1"/>
    <col min="14" max="14" width="11" style="59" bestFit="1" customWidth="1"/>
    <col min="15" max="15" width="10.5703125" style="65" bestFit="1" customWidth="1"/>
    <col min="16" max="16" width="10" style="59" bestFit="1" customWidth="1"/>
    <col min="17" max="17" width="13.140625" style="59" bestFit="1" customWidth="1"/>
    <col min="18" max="18" width="10.140625" style="59" bestFit="1" customWidth="1"/>
    <col min="19" max="19" width="15" style="59" bestFit="1" customWidth="1"/>
    <col min="20" max="20" width="8.85546875" style="59" bestFit="1" customWidth="1"/>
    <col min="21" max="21" width="15" style="59" bestFit="1" customWidth="1"/>
    <col min="22" max="22" width="10" style="59" bestFit="1" customWidth="1"/>
    <col min="23" max="23" width="13.140625" style="59" bestFit="1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104</v>
      </c>
      <c r="P1" s="62" t="s">
        <v>97</v>
      </c>
      <c r="Q1" s="63" t="s">
        <v>99</v>
      </c>
      <c r="R1" s="60" t="s">
        <v>98</v>
      </c>
      <c r="S1" s="62" t="s">
        <v>27</v>
      </c>
      <c r="T1" s="60" t="s">
        <v>64</v>
      </c>
      <c r="U1" s="60" t="s">
        <v>94</v>
      </c>
      <c r="V1" s="60" t="s">
        <v>95</v>
      </c>
      <c r="W1" s="60" t="s">
        <v>96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39.407444999999996</v>
      </c>
      <c r="C3" s="67">
        <v>0</v>
      </c>
      <c r="D3" s="68">
        <f>'17'!M3</f>
        <v>9.4499999999999993</v>
      </c>
      <c r="E3" s="67">
        <v>0</v>
      </c>
      <c r="F3" s="67">
        <v>0</v>
      </c>
      <c r="G3" s="69">
        <f>D3*1.0567</f>
        <v>9.9858149999999988</v>
      </c>
      <c r="H3" s="67">
        <v>0</v>
      </c>
      <c r="I3" s="67">
        <v>0</v>
      </c>
      <c r="J3" s="68">
        <f>G3</f>
        <v>9.9858149999999988</v>
      </c>
      <c r="K3" s="67">
        <v>0</v>
      </c>
      <c r="L3" s="67">
        <v>0</v>
      </c>
      <c r="M3" s="68">
        <f>J3</f>
        <v>9.9858149999999988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189.39</v>
      </c>
      <c r="C4" s="68">
        <f>'17'!N4+0.14</f>
        <v>14.959999999999996</v>
      </c>
      <c r="D4" s="68">
        <f>C4+0.14</f>
        <v>15.099999999999996</v>
      </c>
      <c r="E4" s="68">
        <f>D4+0.14</f>
        <v>15.239999999999997</v>
      </c>
      <c r="F4" s="68">
        <f>E4+0.14</f>
        <v>15.379999999999997</v>
      </c>
      <c r="G4" s="68">
        <f>F4+0.15</f>
        <v>15.529999999999998</v>
      </c>
      <c r="H4" s="68">
        <f>G4+0.15</f>
        <v>15.679999999999998</v>
      </c>
      <c r="I4" s="68">
        <f>H4+0.16</f>
        <v>15.839999999999998</v>
      </c>
      <c r="J4" s="68">
        <f>I4+0.16</f>
        <v>15.999999999999998</v>
      </c>
      <c r="K4" s="68">
        <f>J4+0.16</f>
        <v>16.159999999999997</v>
      </c>
      <c r="L4" s="68">
        <f>K4+0.17</f>
        <v>16.329999999999998</v>
      </c>
      <c r="M4" s="68">
        <f>L4+0.17</f>
        <v>16.5</v>
      </c>
      <c r="N4" s="68">
        <f>M4+0.17</f>
        <v>16.670000000000002</v>
      </c>
      <c r="O4" s="65">
        <v>74.287000000000006</v>
      </c>
      <c r="P4" s="71">
        <v>2.2799999999999998</v>
      </c>
      <c r="Q4" s="71">
        <f t="shared" si="1"/>
        <v>169.37436</v>
      </c>
      <c r="R4" s="72">
        <f t="shared" ref="R4:R11" si="4">S4/O4</f>
        <v>30.086286968110166</v>
      </c>
      <c r="S4" s="72">
        <v>2235.02</v>
      </c>
      <c r="T4" s="73">
        <f t="shared" ref="T4:T21" si="5">P4/R4</f>
        <v>7.5782033270395788E-2</v>
      </c>
      <c r="U4" s="70">
        <v>1545.65</v>
      </c>
      <c r="V4" s="73">
        <f t="shared" ref="V4:V21" si="6">Q4/U4</f>
        <v>0.10958131530424092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ref="B5" si="7">SUM(C5:N5)</f>
        <v>102.24</v>
      </c>
      <c r="C5" s="67">
        <v>0</v>
      </c>
      <c r="D5" s="67">
        <v>0</v>
      </c>
      <c r="E5" s="69">
        <f>'17'!N5*1.2</f>
        <v>25.56</v>
      </c>
      <c r="F5" s="67">
        <v>0</v>
      </c>
      <c r="G5" s="67">
        <v>0</v>
      </c>
      <c r="H5" s="68">
        <f>E5</f>
        <v>25.56</v>
      </c>
      <c r="I5" s="67">
        <v>0</v>
      </c>
      <c r="J5" s="67">
        <v>0</v>
      </c>
      <c r="K5" s="68">
        <f>H5</f>
        <v>25.56</v>
      </c>
      <c r="L5" s="67">
        <v>0</v>
      </c>
      <c r="M5" s="67">
        <v>0</v>
      </c>
      <c r="N5" s="68">
        <f>K5</f>
        <v>25.56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46.819325680000006</v>
      </c>
      <c r="C6" s="68">
        <f>'17'!L6</f>
        <v>11.474200000000002</v>
      </c>
      <c r="D6" s="67">
        <v>0</v>
      </c>
      <c r="E6" s="67">
        <v>0</v>
      </c>
      <c r="F6" s="69">
        <f>C6*1.02</f>
        <v>11.703684000000001</v>
      </c>
      <c r="G6" s="67">
        <v>0</v>
      </c>
      <c r="H6" s="67">
        <v>0</v>
      </c>
      <c r="I6" s="68">
        <f>F6</f>
        <v>11.703684000000001</v>
      </c>
      <c r="J6" s="67">
        <v>0</v>
      </c>
      <c r="K6" s="67">
        <v>0</v>
      </c>
      <c r="L6" s="69">
        <f>I6*1.02</f>
        <v>11.937757680000001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4"/>
        <v>51.681500000000007</v>
      </c>
      <c r="S6" s="72">
        <v>1033.6300000000001</v>
      </c>
      <c r="T6" s="73">
        <f t="shared" si="5"/>
        <v>4.1794452560393949E-2</v>
      </c>
      <c r="U6" s="70">
        <v>1124.4000000000001</v>
      </c>
      <c r="V6" s="73">
        <f t="shared" si="6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'17'!N7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4"/>
        <v>43.217272727272722</v>
      </c>
      <c r="S7" s="70">
        <v>2376.9499999999998</v>
      </c>
      <c r="T7" s="73">
        <f t="shared" si="5"/>
        <v>5.5533351563979053E-2</v>
      </c>
      <c r="U7" s="70">
        <v>2048.75</v>
      </c>
      <c r="V7" s="73">
        <f t="shared" si="6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ref="B8" si="8">SUM(C8:N8)</f>
        <v>68.106499999999997</v>
      </c>
      <c r="C8" s="68">
        <f>'17'!L8</f>
        <v>15.95</v>
      </c>
      <c r="D8" s="67">
        <v>0</v>
      </c>
      <c r="E8" s="67">
        <v>0</v>
      </c>
      <c r="F8" s="69">
        <f>C8*1.09</f>
        <v>17.3855</v>
      </c>
      <c r="G8" s="67"/>
      <c r="H8" s="67"/>
      <c r="I8" s="68">
        <f>F8</f>
        <v>17.3855</v>
      </c>
      <c r="J8" s="67"/>
      <c r="K8" s="67"/>
      <c r="L8" s="68">
        <f>I8</f>
        <v>17.3855</v>
      </c>
      <c r="M8" s="67"/>
      <c r="N8" s="67"/>
      <c r="O8" s="65">
        <v>55</v>
      </c>
      <c r="P8" s="71">
        <v>1.1599999999999999</v>
      </c>
      <c r="Q8" s="70">
        <f t="shared" si="1"/>
        <v>63.8</v>
      </c>
      <c r="R8" s="72">
        <f t="shared" si="4"/>
        <v>23.256363636363634</v>
      </c>
      <c r="S8" s="72">
        <v>1279.0999999999999</v>
      </c>
      <c r="T8" s="73">
        <f t="shared" si="5"/>
        <v>4.9878821046048002E-2</v>
      </c>
      <c r="U8" s="70">
        <v>1673.1</v>
      </c>
      <c r="V8" s="73">
        <f t="shared" si="6"/>
        <v>3.8132807363576597E-2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133.1199</v>
      </c>
      <c r="C9" s="67">
        <v>0</v>
      </c>
      <c r="D9" s="67">
        <v>0</v>
      </c>
      <c r="E9" s="69">
        <f>'17'!N9+(0.05*204.798)</f>
        <v>40.959899999999998</v>
      </c>
      <c r="F9" s="67">
        <v>0</v>
      </c>
      <c r="G9" s="67">
        <v>0</v>
      </c>
      <c r="H9" s="68"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0.65</v>
      </c>
      <c r="Q9" s="71">
        <f t="shared" si="1"/>
        <v>133.11870000000002</v>
      </c>
      <c r="R9" s="72">
        <f t="shared" si="4"/>
        <v>12.055439994531195</v>
      </c>
      <c r="S9" s="72">
        <v>2468.9299999999998</v>
      </c>
      <c r="T9" s="73">
        <f t="shared" si="5"/>
        <v>5.3917567529253571E-2</v>
      </c>
      <c r="U9" s="70">
        <v>2508.7800000000002</v>
      </c>
      <c r="V9" s="73">
        <f t="shared" si="6"/>
        <v>5.3061129313849764E-2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99.984000000000009</v>
      </c>
      <c r="C10" s="69">
        <f>'17'!L10*1.0415</f>
        <v>24.996000000000002</v>
      </c>
      <c r="D10" s="67">
        <v>0</v>
      </c>
      <c r="E10" s="67">
        <v>0</v>
      </c>
      <c r="F10" s="68">
        <f>C10</f>
        <v>24.996000000000002</v>
      </c>
      <c r="G10" s="67">
        <v>0</v>
      </c>
      <c r="H10" s="67">
        <v>0</v>
      </c>
      <c r="I10" s="68">
        <f>F10</f>
        <v>24.996000000000002</v>
      </c>
      <c r="J10" s="67">
        <v>0</v>
      </c>
      <c r="K10" s="67">
        <v>0</v>
      </c>
      <c r="L10" s="68">
        <f>I10</f>
        <v>24.996000000000002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4"/>
        <v>25.006500000000003</v>
      </c>
      <c r="S10" s="72">
        <v>2500.65</v>
      </c>
      <c r="T10" s="73">
        <f t="shared" si="5"/>
        <v>3.8390018595165248E-2</v>
      </c>
      <c r="U10" s="70">
        <v>3170</v>
      </c>
      <c r="V10" s="73">
        <f t="shared" si="6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38.354199999999999</v>
      </c>
      <c r="C11" s="67">
        <v>0</v>
      </c>
      <c r="D11" s="69">
        <f>'17'!M11*1.0366</f>
        <v>9.5885499999999997</v>
      </c>
      <c r="E11" s="67">
        <v>0</v>
      </c>
      <c r="F11" s="67">
        <v>0</v>
      </c>
      <c r="G11" s="68">
        <f>D11</f>
        <v>9.5885499999999997</v>
      </c>
      <c r="H11" s="67">
        <v>0</v>
      </c>
      <c r="I11" s="67">
        <v>0</v>
      </c>
      <c r="J11" s="68">
        <f>G11</f>
        <v>9.5885499999999997</v>
      </c>
      <c r="K11" s="67">
        <v>0</v>
      </c>
      <c r="L11" s="67">
        <v>0</v>
      </c>
      <c r="M11" s="68">
        <f>J11</f>
        <v>9.5885499999999997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4"/>
        <v>44.078000000000003</v>
      </c>
      <c r="S11" s="72">
        <v>1101.95</v>
      </c>
      <c r="T11" s="73">
        <f t="shared" si="5"/>
        <v>3.3576841054494301E-2</v>
      </c>
      <c r="U11" s="70">
        <v>725.25</v>
      </c>
      <c r="V11" s="73">
        <f t="shared" si="6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53.045999999999999</v>
      </c>
      <c r="C12" s="67">
        <v>0</v>
      </c>
      <c r="D12" s="67">
        <v>0</v>
      </c>
      <c r="E12" s="68">
        <f>'17'!N12</f>
        <v>12.6</v>
      </c>
      <c r="F12" s="67">
        <v>0</v>
      </c>
      <c r="G12" s="67">
        <v>0</v>
      </c>
      <c r="H12" s="69">
        <f>E12*1.07</f>
        <v>13.482000000000001</v>
      </c>
      <c r="I12" s="67">
        <v>0</v>
      </c>
      <c r="J12" s="67">
        <v>0</v>
      </c>
      <c r="K12" s="68">
        <f>H12</f>
        <v>13.482000000000001</v>
      </c>
      <c r="L12" s="67">
        <v>0</v>
      </c>
      <c r="M12" s="67">
        <v>0</v>
      </c>
      <c r="N12" s="68">
        <f>K12</f>
        <v>13.482000000000001</v>
      </c>
      <c r="O12" s="65">
        <v>15</v>
      </c>
      <c r="P12" s="71">
        <v>3.36</v>
      </c>
      <c r="Q12" s="71">
        <f t="shared" si="1"/>
        <v>50.4</v>
      </c>
      <c r="R12" s="72">
        <v>101.07</v>
      </c>
      <c r="S12" s="72">
        <v>1516.02</v>
      </c>
      <c r="T12" s="73">
        <f t="shared" si="5"/>
        <v>3.3244286138319978E-2</v>
      </c>
      <c r="U12" s="70">
        <v>1726.5</v>
      </c>
      <c r="V12" s="73">
        <f t="shared" si="6"/>
        <v>2.9192006950477845E-2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'17'!M13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5"/>
        <v>1.2091908643583045E-2</v>
      </c>
      <c r="U13" s="70">
        <v>1216.5</v>
      </c>
      <c r="V13" s="73">
        <f t="shared" si="6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219.27709209587258</v>
      </c>
      <c r="C14" s="68">
        <f>'17'!N14*1.04</f>
        <v>18.201980160000002</v>
      </c>
      <c r="D14" s="68">
        <f>C14</f>
        <v>18.201980160000002</v>
      </c>
      <c r="E14" s="68">
        <f>D14</f>
        <v>18.201980160000002</v>
      </c>
      <c r="F14" s="68">
        <f>E14*1.0026</f>
        <v>18.249305308416002</v>
      </c>
      <c r="G14" s="68">
        <f>F14</f>
        <v>18.249305308416002</v>
      </c>
      <c r="H14" s="68">
        <f>G14</f>
        <v>18.249305308416002</v>
      </c>
      <c r="I14" s="68">
        <f>H14*1.0026</f>
        <v>18.296753502217882</v>
      </c>
      <c r="J14" s="68">
        <f>I14</f>
        <v>18.296753502217882</v>
      </c>
      <c r="K14" s="68">
        <f>J14</f>
        <v>18.296753502217882</v>
      </c>
      <c r="L14" s="68">
        <f>K14*1.0026</f>
        <v>18.344325061323648</v>
      </c>
      <c r="M14" s="68">
        <f>L14</f>
        <v>18.344325061323648</v>
      </c>
      <c r="N14" s="68">
        <f>M14</f>
        <v>18.344325061323648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5"/>
        <v>6.4042266958263191E-2</v>
      </c>
      <c r="U14" s="70">
        <v>4629.72</v>
      </c>
      <c r="V14" s="73">
        <f t="shared" si="6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54.784000000000006</v>
      </c>
      <c r="C15" s="67">
        <v>0</v>
      </c>
      <c r="D15" s="67">
        <v>0</v>
      </c>
      <c r="E15" s="88">
        <f>'17'!N15*1.07</f>
        <v>13.696000000000002</v>
      </c>
      <c r="F15" s="67">
        <v>0</v>
      </c>
      <c r="G15" s="67">
        <v>0</v>
      </c>
      <c r="H15" s="68">
        <f>E15</f>
        <v>13.696000000000002</v>
      </c>
      <c r="I15" s="67">
        <v>0</v>
      </c>
      <c r="J15" s="67">
        <v>0</v>
      </c>
      <c r="K15" s="68">
        <f>H15</f>
        <v>13.696000000000002</v>
      </c>
      <c r="L15" s="67">
        <v>0</v>
      </c>
      <c r="M15" s="67">
        <v>0</v>
      </c>
      <c r="N15" s="68">
        <f>K15</f>
        <v>13.696000000000002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5"/>
        <v>4.1410546748625043E-2</v>
      </c>
      <c r="U15" s="70">
        <v>1294</v>
      </c>
      <c r="V15" s="73">
        <f t="shared" si="6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65.401379999999989</v>
      </c>
      <c r="C16" s="68">
        <f>'17'!L16</f>
        <v>16.268999999999998</v>
      </c>
      <c r="D16" s="70">
        <v>0</v>
      </c>
      <c r="E16" s="70">
        <v>0</v>
      </c>
      <c r="F16" s="68">
        <f>C16</f>
        <v>16.268999999999998</v>
      </c>
      <c r="G16" s="70">
        <v>0</v>
      </c>
      <c r="H16" s="70">
        <v>0</v>
      </c>
      <c r="I16" s="68">
        <f>F16</f>
        <v>16.268999999999998</v>
      </c>
      <c r="J16" s="70">
        <v>0</v>
      </c>
      <c r="K16" s="70">
        <v>0</v>
      </c>
      <c r="L16" s="69">
        <f>I16*1.02</f>
        <v>16.594379999999997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5"/>
        <v>5.0182081273363072E-2</v>
      </c>
      <c r="U16" s="70">
        <v>1394.38</v>
      </c>
      <c r="V16" s="73">
        <f t="shared" si="6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150.59279999999998</v>
      </c>
      <c r="C17" s="70">
        <v>0</v>
      </c>
      <c r="D17" s="69">
        <f>'17'!M17*1.02</f>
        <v>37.648199999999996</v>
      </c>
      <c r="E17" s="70">
        <v>0</v>
      </c>
      <c r="F17" s="67">
        <v>0</v>
      </c>
      <c r="G17" s="68">
        <f>D17</f>
        <v>37.648199999999996</v>
      </c>
      <c r="H17" s="67">
        <v>0</v>
      </c>
      <c r="I17" s="67">
        <v>0</v>
      </c>
      <c r="J17" s="68">
        <f>G17</f>
        <v>37.648199999999996</v>
      </c>
      <c r="K17" s="67">
        <v>0</v>
      </c>
      <c r="L17" s="67">
        <v>0</v>
      </c>
      <c r="M17" s="68">
        <f>J17</f>
        <v>37.648199999999996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5"/>
        <v>6.0512503859215805E-2</v>
      </c>
      <c r="U17" s="70">
        <v>3007.88</v>
      </c>
      <c r="V17" s="73">
        <f t="shared" si="6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55.278000000000006</v>
      </c>
      <c r="C18" s="68">
        <f>'17'!L18</f>
        <v>13.32</v>
      </c>
      <c r="D18" s="67">
        <v>0</v>
      </c>
      <c r="E18" s="70">
        <v>0</v>
      </c>
      <c r="F18" s="69">
        <f>C18*1.05</f>
        <v>13.986000000000001</v>
      </c>
      <c r="G18" s="67">
        <v>0</v>
      </c>
      <c r="H18" s="67">
        <v>0</v>
      </c>
      <c r="I18" s="68">
        <f>F18</f>
        <v>13.986000000000001</v>
      </c>
      <c r="J18" s="67">
        <v>0</v>
      </c>
      <c r="K18" s="67">
        <v>0</v>
      </c>
      <c r="L18" s="68">
        <f>I18</f>
        <v>13.986000000000001</v>
      </c>
      <c r="M18" s="67">
        <v>0</v>
      </c>
      <c r="N18" s="67">
        <v>0</v>
      </c>
      <c r="O18" s="65">
        <v>30</v>
      </c>
      <c r="P18" s="70">
        <v>1.8</v>
      </c>
      <c r="Q18" s="70">
        <f t="shared" si="1"/>
        <v>54</v>
      </c>
      <c r="R18" s="72">
        <v>42.25</v>
      </c>
      <c r="S18" s="70">
        <v>1267.49</v>
      </c>
      <c r="T18" s="73">
        <f t="shared" si="5"/>
        <v>4.2603550295857988E-2</v>
      </c>
      <c r="U18" s="70">
        <v>1485</v>
      </c>
      <c r="V18" s="73">
        <f t="shared" si="6"/>
        <v>3.6363636363636362E-2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158.67600000000002</v>
      </c>
      <c r="C19" s="70">
        <v>0</v>
      </c>
      <c r="D19" s="70">
        <v>0</v>
      </c>
      <c r="E19" s="69">
        <f>'17'!N19*1.05</f>
        <v>39.669000000000004</v>
      </c>
      <c r="F19" s="70">
        <v>0</v>
      </c>
      <c r="G19" s="70">
        <v>0</v>
      </c>
      <c r="H19" s="68">
        <f>E19</f>
        <v>39.669000000000004</v>
      </c>
      <c r="I19" s="70">
        <v>0</v>
      </c>
      <c r="J19" s="70">
        <v>0</v>
      </c>
      <c r="K19" s="68">
        <f>H19</f>
        <v>39.669000000000004</v>
      </c>
      <c r="L19" s="70">
        <v>0</v>
      </c>
      <c r="M19" s="70">
        <v>0</v>
      </c>
      <c r="N19" s="68">
        <f>K19</f>
        <v>39.669000000000004</v>
      </c>
      <c r="O19" s="65">
        <v>100</v>
      </c>
      <c r="P19" s="70">
        <v>1.53</v>
      </c>
      <c r="Q19" s="70">
        <f t="shared" si="1"/>
        <v>153</v>
      </c>
      <c r="R19" s="72">
        <v>39.590000000000003</v>
      </c>
      <c r="S19" s="70">
        <v>3962.41</v>
      </c>
      <c r="T19" s="73">
        <f t="shared" si="5"/>
        <v>3.864612275827229E-2</v>
      </c>
      <c r="U19" s="70">
        <v>4027</v>
      </c>
      <c r="V19" s="73">
        <f t="shared" si="6"/>
        <v>3.7993543580829403E-2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ref="B20" si="9">SUM(C20:N20)</f>
        <v>63.08</v>
      </c>
      <c r="C20" s="70">
        <v>0</v>
      </c>
      <c r="D20" s="70">
        <v>0</v>
      </c>
      <c r="E20" s="68">
        <f>'17'!N20</f>
        <v>15.2</v>
      </c>
      <c r="F20" s="70">
        <v>0</v>
      </c>
      <c r="G20" s="70">
        <v>0</v>
      </c>
      <c r="H20" s="69">
        <f>E20*1.05</f>
        <v>15.959999999999999</v>
      </c>
      <c r="I20" s="70">
        <v>0</v>
      </c>
      <c r="J20" s="70">
        <v>0</v>
      </c>
      <c r="K20" s="68">
        <f>H20</f>
        <v>15.959999999999999</v>
      </c>
      <c r="L20" s="70">
        <v>0</v>
      </c>
      <c r="M20" s="70">
        <v>0</v>
      </c>
      <c r="N20" s="68">
        <f>K20</f>
        <v>15.959999999999999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>
        <v>42488</v>
      </c>
    </row>
    <row r="21" spans="1:25" x14ac:dyDescent="0.2">
      <c r="A21" s="59" t="s">
        <v>73</v>
      </c>
      <c r="B21" s="66">
        <f t="shared" si="3"/>
        <v>47.932500000000005</v>
      </c>
      <c r="C21" s="70">
        <v>0</v>
      </c>
      <c r="D21" s="70">
        <v>0</v>
      </c>
      <c r="E21" s="68">
        <f>'17'!N21</f>
        <v>11.55</v>
      </c>
      <c r="F21" s="70">
        <v>0</v>
      </c>
      <c r="G21" s="70">
        <v>0</v>
      </c>
      <c r="H21" s="69">
        <f>E21*1.05</f>
        <v>12.127500000000001</v>
      </c>
      <c r="I21" s="70">
        <v>0</v>
      </c>
      <c r="J21" s="70">
        <v>0</v>
      </c>
      <c r="K21" s="68">
        <f>H21</f>
        <v>12.127500000000001</v>
      </c>
      <c r="L21" s="70">
        <v>0</v>
      </c>
      <c r="M21" s="70">
        <v>0</v>
      </c>
      <c r="N21" s="68">
        <f>K21</f>
        <v>12.127500000000001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5"/>
        <v>3.2403997895844291E-2</v>
      </c>
      <c r="U21" s="70">
        <v>1354.5</v>
      </c>
      <c r="V21" s="73">
        <f t="shared" si="6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420.16</v>
      </c>
    </row>
    <row r="23" spans="1:25" s="64" customFormat="1" x14ac:dyDescent="0.2">
      <c r="A23" s="78"/>
      <c r="B23" s="79">
        <f t="shared" ref="B23:N23" si="10">SUM(B3:B21)</f>
        <v>1745.7291427758728</v>
      </c>
      <c r="C23" s="79">
        <f t="shared" si="10"/>
        <v>115.17118016000001</v>
      </c>
      <c r="D23" s="79">
        <f t="shared" si="10"/>
        <v>97.328730159999992</v>
      </c>
      <c r="E23" s="79">
        <f t="shared" si="10"/>
        <v>225.39688015999999</v>
      </c>
      <c r="F23" s="79">
        <f t="shared" si="10"/>
        <v>117.96948930841599</v>
      </c>
      <c r="G23" s="79">
        <f t="shared" si="10"/>
        <v>98.341870308415992</v>
      </c>
      <c r="H23" s="79">
        <f t="shared" si="10"/>
        <v>217.863805308416</v>
      </c>
      <c r="I23" s="79">
        <f t="shared" si="10"/>
        <v>118.47693750221789</v>
      </c>
      <c r="J23" s="79">
        <f t="shared" si="10"/>
        <v>98.85931850221786</v>
      </c>
      <c r="K23" s="79">
        <f t="shared" si="10"/>
        <v>218.39125350221789</v>
      </c>
      <c r="L23" s="79">
        <f t="shared" si="10"/>
        <v>119.57396274132365</v>
      </c>
      <c r="M23" s="79">
        <f t="shared" si="10"/>
        <v>99.406890061323651</v>
      </c>
      <c r="N23" s="79">
        <f t="shared" si="10"/>
        <v>218.94882506132367</v>
      </c>
      <c r="O23" s="80"/>
      <c r="Q23" s="81">
        <f>SUM(Q3:Q21)</f>
        <v>1661.5877787999998</v>
      </c>
      <c r="R23" s="78"/>
      <c r="S23" s="81">
        <f>SUM(S3:S21)</f>
        <v>37541.48000000001</v>
      </c>
      <c r="T23" s="82">
        <f>Q23/S23</f>
        <v>4.4260049918117224E-2</v>
      </c>
      <c r="U23" s="81">
        <f>SUM(U3:U22)</f>
        <v>39657.270000000011</v>
      </c>
      <c r="V23" s="82">
        <f>B23/U23</f>
        <v>4.4020406416676497E-2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2017</v>
      </c>
      <c r="B25" s="70">
        <f>SUM(C25:N25)</f>
        <v>1604.968912</v>
      </c>
      <c r="C25" s="67">
        <v>108.43</v>
      </c>
      <c r="D25" s="67">
        <v>59.33</v>
      </c>
      <c r="E25" s="67">
        <v>220.52</v>
      </c>
      <c r="F25" s="67">
        <v>98.8</v>
      </c>
      <c r="G25" s="67">
        <v>83.05</v>
      </c>
      <c r="H25" s="67">
        <v>206.21</v>
      </c>
      <c r="I25" s="68">
        <f>'17'!I23</f>
        <v>112.05000000000001</v>
      </c>
      <c r="J25" s="68">
        <f>'17'!J23</f>
        <v>94.75</v>
      </c>
      <c r="K25" s="68">
        <f>'17'!K23</f>
        <v>206.59</v>
      </c>
      <c r="L25" s="68">
        <f>'17'!L23</f>
        <v>113.09510399999999</v>
      </c>
      <c r="M25" s="68">
        <f>'17'!M23</f>
        <v>95.151903999999988</v>
      </c>
      <c r="N25" s="68">
        <f>'17'!N23</f>
        <v>206.99190400000001</v>
      </c>
      <c r="T25" s="84" t="s">
        <v>84</v>
      </c>
      <c r="U25" s="70"/>
    </row>
    <row r="26" spans="1:25" x14ac:dyDescent="0.2">
      <c r="A26" s="83" t="s">
        <v>40</v>
      </c>
      <c r="B26" s="73">
        <f t="shared" ref="B26:N26" si="11">(B23-B25)/B25</f>
        <v>8.7702777121375627E-2</v>
      </c>
      <c r="C26" s="73">
        <f t="shared" si="11"/>
        <v>6.2170802914322594E-2</v>
      </c>
      <c r="D26" s="73">
        <f t="shared" si="11"/>
        <v>0.64046401752907456</v>
      </c>
      <c r="E26" s="73">
        <f t="shared" si="11"/>
        <v>2.2115364411391187E-2</v>
      </c>
      <c r="F26" s="73">
        <f t="shared" si="11"/>
        <v>0.19402317113781367</v>
      </c>
      <c r="G26" s="73">
        <f t="shared" si="11"/>
        <v>0.18412848053481029</v>
      </c>
      <c r="H26" s="73">
        <f t="shared" si="11"/>
        <v>5.6514258806149055E-2</v>
      </c>
      <c r="I26" s="73">
        <f t="shared" si="11"/>
        <v>5.7357764410690598E-2</v>
      </c>
      <c r="J26" s="73">
        <f t="shared" si="11"/>
        <v>4.3370116118394302E-2</v>
      </c>
      <c r="K26" s="73">
        <f t="shared" si="11"/>
        <v>5.7124030699539613E-2</v>
      </c>
      <c r="L26" s="73">
        <f t="shared" si="11"/>
        <v>5.7286818899991133E-2</v>
      </c>
      <c r="M26" s="73">
        <f t="shared" si="11"/>
        <v>4.4717823632028045E-2</v>
      </c>
      <c r="N26" s="73">
        <f t="shared" si="11"/>
        <v>5.7765162937598126E-2</v>
      </c>
      <c r="P26" s="71"/>
      <c r="T26" s="84" t="s">
        <v>85</v>
      </c>
      <c r="U26" s="85">
        <f>U25/U23</f>
        <v>0</v>
      </c>
    </row>
    <row r="27" spans="1:25" x14ac:dyDescent="0.2">
      <c r="B27" s="86"/>
      <c r="P27" s="71"/>
      <c r="T27" s="84"/>
      <c r="U27" s="73"/>
    </row>
    <row r="28" spans="1:25" x14ac:dyDescent="0.2">
      <c r="P28" s="71"/>
    </row>
    <row r="29" spans="1:25" x14ac:dyDescent="0.2">
      <c r="A29" s="60" t="s">
        <v>44</v>
      </c>
      <c r="B29" s="87" t="s">
        <v>45</v>
      </c>
      <c r="P29" s="71"/>
    </row>
    <row r="30" spans="1:25" x14ac:dyDescent="0.2">
      <c r="P30" s="70"/>
    </row>
    <row r="31" spans="1:25" x14ac:dyDescent="0.2">
      <c r="P31" s="70"/>
    </row>
    <row r="32" spans="1:25" x14ac:dyDescent="0.2">
      <c r="P32" s="70"/>
    </row>
    <row r="33" spans="16:16" x14ac:dyDescent="0.2">
      <c r="P33" s="70"/>
    </row>
    <row r="34" spans="16:16" x14ac:dyDescent="0.2">
      <c r="P34" s="70"/>
    </row>
    <row r="35" spans="16:16" x14ac:dyDescent="0.2">
      <c r="P35" s="70"/>
    </row>
  </sheetData>
  <pageMargins left="0.7" right="0.7" top="0.75" bottom="0.75" header="0.3" footer="0.3"/>
  <pageSetup scale="57" fitToHeight="0" orientation="landscape" r:id="rId1"/>
  <ignoredErrors>
    <ignoredError sqref="B20 B5 B8 F14:L14 V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70" zoomScaleNormal="70" workbookViewId="0">
      <pane xSplit="1" topLeftCell="B1" activePane="topRight" state="frozen"/>
      <selection pane="topRight" activeCell="P5" sqref="P5"/>
    </sheetView>
  </sheetViews>
  <sheetFormatPr defaultRowHeight="12.75" x14ac:dyDescent="0.2"/>
  <cols>
    <col min="1" max="1" width="10" style="59" customWidth="1"/>
    <col min="2" max="2" width="11.5703125" style="59" bestFit="1" customWidth="1"/>
    <col min="3" max="3" width="9.28515625" style="59" bestFit="1" customWidth="1"/>
    <col min="4" max="4" width="9.5703125" style="59" bestFit="1" customWidth="1"/>
    <col min="5" max="5" width="10.140625" style="59" bestFit="1" customWidth="1"/>
    <col min="6" max="6" width="9.7109375" style="59" bestFit="1" customWidth="1"/>
    <col min="7" max="7" width="10" style="59" bestFit="1" customWidth="1"/>
    <col min="8" max="8" width="9.7109375" style="59" bestFit="1" customWidth="1"/>
    <col min="9" max="9" width="9.28515625" style="59" bestFit="1" customWidth="1"/>
    <col min="10" max="11" width="9.7109375" style="59" bestFit="1" customWidth="1"/>
    <col min="12" max="12" width="9.28515625" style="59" bestFit="1" customWidth="1"/>
    <col min="13" max="13" width="10" style="59" bestFit="1" customWidth="1"/>
    <col min="14" max="14" width="10.140625" style="59" bestFit="1" customWidth="1"/>
    <col min="15" max="15" width="12.5703125" style="65" bestFit="1" customWidth="1"/>
    <col min="16" max="16" width="12" style="59" bestFit="1" customWidth="1"/>
    <col min="17" max="17" width="11.5703125" style="59" bestFit="1" customWidth="1"/>
    <col min="18" max="18" width="12" style="59" bestFit="1" customWidth="1"/>
    <col min="19" max="19" width="13.42578125" style="59" bestFit="1" customWidth="1"/>
    <col min="20" max="20" width="7.7109375" style="59" bestFit="1" customWidth="1"/>
    <col min="21" max="21" width="12.85546875" style="59" bestFit="1" customWidth="1"/>
    <col min="22" max="22" width="9.28515625" style="59" bestFit="1" customWidth="1"/>
    <col min="23" max="23" width="12.5703125" style="59" bestFit="1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94</v>
      </c>
      <c r="V1" s="60" t="s">
        <v>95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41.641847131499993</v>
      </c>
      <c r="C3" s="67">
        <v>0</v>
      </c>
      <c r="D3" s="68">
        <f>'18'!M3</f>
        <v>9.9858149999999988</v>
      </c>
      <c r="E3" s="67">
        <v>0</v>
      </c>
      <c r="F3" s="67">
        <v>0</v>
      </c>
      <c r="G3" s="69">
        <f>D3*1.0567</f>
        <v>10.552010710499998</v>
      </c>
      <c r="H3" s="67">
        <v>0</v>
      </c>
      <c r="I3" s="67">
        <v>0</v>
      </c>
      <c r="J3" s="68">
        <f>G3</f>
        <v>10.552010710499998</v>
      </c>
      <c r="K3" s="67">
        <v>0</v>
      </c>
      <c r="L3" s="67">
        <v>0</v>
      </c>
      <c r="M3" s="68">
        <f>J3</f>
        <v>10.552010710499998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214.99</v>
      </c>
      <c r="C4" s="68">
        <f>'18'!N4+0.18</f>
        <v>16.850000000000001</v>
      </c>
      <c r="D4" s="68">
        <f>C4+0.18</f>
        <v>17.03</v>
      </c>
      <c r="E4" s="68">
        <f>D4+0.18</f>
        <v>17.21</v>
      </c>
      <c r="F4" s="68">
        <f>E4+0.19</f>
        <v>17.400000000000002</v>
      </c>
      <c r="G4" s="68">
        <f>F4+0.19</f>
        <v>17.590000000000003</v>
      </c>
      <c r="H4" s="68">
        <f>G4+0.2</f>
        <v>17.790000000000003</v>
      </c>
      <c r="I4" s="68">
        <f>H4+0.2</f>
        <v>17.990000000000002</v>
      </c>
      <c r="J4" s="68">
        <f>I4+0.21</f>
        <v>18.200000000000003</v>
      </c>
      <c r="K4" s="68">
        <f>J4+0.21</f>
        <v>18.410000000000004</v>
      </c>
      <c r="L4" s="68">
        <f>K4+0.21</f>
        <v>18.620000000000005</v>
      </c>
      <c r="M4" s="68">
        <f>L4+0.22</f>
        <v>18.840000000000003</v>
      </c>
      <c r="N4" s="68">
        <f>M4+0.22</f>
        <v>19.060000000000002</v>
      </c>
      <c r="O4" s="65">
        <v>74.287000000000006</v>
      </c>
      <c r="P4" s="71">
        <v>2.2799999999999998</v>
      </c>
      <c r="Q4" s="71">
        <f t="shared" si="1"/>
        <v>169.37436</v>
      </c>
      <c r="R4" s="72">
        <f t="shared" ref="R4:R11" si="4">S4/O4</f>
        <v>30.086286968110166</v>
      </c>
      <c r="S4" s="72">
        <v>2235.02</v>
      </c>
      <c r="T4" s="73">
        <f t="shared" ref="T4:T21" si="5">P4/R4</f>
        <v>7.5782033270395788E-2</v>
      </c>
      <c r="U4" s="70">
        <v>1545.65</v>
      </c>
      <c r="V4" s="73">
        <f t="shared" ref="V4:V21" si="6">Q4/U4</f>
        <v>0.10958131530424092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122.68799999999999</v>
      </c>
      <c r="C5" s="67">
        <v>0</v>
      </c>
      <c r="D5" s="67">
        <v>0</v>
      </c>
      <c r="E5" s="69">
        <f>'18'!N5*1.2</f>
        <v>30.671999999999997</v>
      </c>
      <c r="F5" s="67">
        <v>0</v>
      </c>
      <c r="G5" s="67">
        <v>0</v>
      </c>
      <c r="H5" s="68">
        <f>E5</f>
        <v>30.671999999999997</v>
      </c>
      <c r="I5" s="67">
        <v>0</v>
      </c>
      <c r="J5" s="67">
        <v>0</v>
      </c>
      <c r="K5" s="68">
        <f>H5</f>
        <v>30.671999999999997</v>
      </c>
      <c r="L5" s="67">
        <v>0</v>
      </c>
      <c r="M5" s="67">
        <v>0</v>
      </c>
      <c r="N5" s="68">
        <f>K5</f>
        <v>30.671999999999997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48.710826437472008</v>
      </c>
      <c r="C6" s="68">
        <f>'18'!L6</f>
        <v>11.937757680000001</v>
      </c>
      <c r="D6" s="67">
        <v>0</v>
      </c>
      <c r="E6" s="67">
        <v>0</v>
      </c>
      <c r="F6" s="69">
        <f>C6*1.02</f>
        <v>12.1765128336</v>
      </c>
      <c r="G6" s="67">
        <v>0</v>
      </c>
      <c r="H6" s="67">
        <v>0</v>
      </c>
      <c r="I6" s="68">
        <f>F6</f>
        <v>12.1765128336</v>
      </c>
      <c r="J6" s="67">
        <v>0</v>
      </c>
      <c r="K6" s="67">
        <v>0</v>
      </c>
      <c r="L6" s="69">
        <f>I6*1.02</f>
        <v>12.420043090272001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4"/>
        <v>51.681500000000007</v>
      </c>
      <c r="S6" s="72">
        <v>1033.6300000000001</v>
      </c>
      <c r="T6" s="73">
        <f t="shared" si="5"/>
        <v>4.1794452560393949E-2</v>
      </c>
      <c r="U6" s="70">
        <v>1124.4000000000001</v>
      </c>
      <c r="V6" s="73">
        <f t="shared" si="6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'18'!N7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4"/>
        <v>43.217272727272722</v>
      </c>
      <c r="S7" s="70">
        <v>2376.9499999999998</v>
      </c>
      <c r="T7" s="73">
        <f t="shared" si="5"/>
        <v>5.5533351563979053E-2</v>
      </c>
      <c r="U7" s="70">
        <v>2048.75</v>
      </c>
      <c r="V7" s="73">
        <f t="shared" si="6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74.236085000000003</v>
      </c>
      <c r="C8" s="68">
        <f>'18'!L8</f>
        <v>17.3855</v>
      </c>
      <c r="D8" s="67">
        <v>0</v>
      </c>
      <c r="E8" s="67">
        <v>0</v>
      </c>
      <c r="F8" s="69">
        <f>C8*1.09</f>
        <v>18.950195000000001</v>
      </c>
      <c r="G8" s="67"/>
      <c r="H8" s="67"/>
      <c r="I8" s="68">
        <f>F8</f>
        <v>18.950195000000001</v>
      </c>
      <c r="J8" s="67"/>
      <c r="K8" s="67"/>
      <c r="L8" s="68">
        <f>I8</f>
        <v>18.950195000000001</v>
      </c>
      <c r="M8" s="67"/>
      <c r="N8" s="67"/>
      <c r="O8" s="65">
        <v>55</v>
      </c>
      <c r="P8" s="71">
        <v>1.1599999999999999</v>
      </c>
      <c r="Q8" s="70">
        <f t="shared" si="1"/>
        <v>63.8</v>
      </c>
      <c r="R8" s="72">
        <f t="shared" si="4"/>
        <v>23.256363636363634</v>
      </c>
      <c r="S8" s="72">
        <v>1279.0999999999999</v>
      </c>
      <c r="T8" s="73">
        <f t="shared" si="5"/>
        <v>4.9878821046048002E-2</v>
      </c>
      <c r="U8" s="70">
        <v>1673.1</v>
      </c>
      <c r="V8" s="73">
        <f t="shared" si="6"/>
        <v>3.8132807363576597E-2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'18'!N9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0.65</v>
      </c>
      <c r="Q9" s="71">
        <f t="shared" si="1"/>
        <v>133.11870000000002</v>
      </c>
      <c r="R9" s="72">
        <f t="shared" si="4"/>
        <v>12.055439994531195</v>
      </c>
      <c r="S9" s="72">
        <v>2468.9299999999998</v>
      </c>
      <c r="T9" s="73">
        <f t="shared" si="5"/>
        <v>5.3917567529253571E-2</v>
      </c>
      <c r="U9" s="70">
        <v>2508.7800000000002</v>
      </c>
      <c r="V9" s="73">
        <f t="shared" si="6"/>
        <v>5.3061129313849764E-2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104.98320000000001</v>
      </c>
      <c r="C10" s="69">
        <f>'18'!L10*1.05</f>
        <v>26.245800000000003</v>
      </c>
      <c r="D10" s="67">
        <v>0</v>
      </c>
      <c r="E10" s="67">
        <v>0</v>
      </c>
      <c r="F10" s="68">
        <f>C10</f>
        <v>26.245800000000003</v>
      </c>
      <c r="G10" s="67">
        <v>0</v>
      </c>
      <c r="H10" s="67">
        <v>0</v>
      </c>
      <c r="I10" s="68">
        <f>F10</f>
        <v>26.245800000000003</v>
      </c>
      <c r="J10" s="67">
        <v>0</v>
      </c>
      <c r="K10" s="67">
        <v>0</v>
      </c>
      <c r="L10" s="68">
        <f>I10</f>
        <v>26.245800000000003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4"/>
        <v>25.006500000000003</v>
      </c>
      <c r="S10" s="72">
        <v>2500.65</v>
      </c>
      <c r="T10" s="73">
        <f t="shared" si="5"/>
        <v>3.8390018595165248E-2</v>
      </c>
      <c r="U10" s="70">
        <v>3170</v>
      </c>
      <c r="V10" s="73">
        <f t="shared" si="6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39.757963719999999</v>
      </c>
      <c r="C11" s="67">
        <v>0</v>
      </c>
      <c r="D11" s="69">
        <f>'18'!M11*1.0366</f>
        <v>9.9394909299999998</v>
      </c>
      <c r="E11" s="67">
        <v>0</v>
      </c>
      <c r="F11" s="67">
        <v>0</v>
      </c>
      <c r="G11" s="68">
        <f>D11</f>
        <v>9.9394909299999998</v>
      </c>
      <c r="H11" s="67">
        <v>0</v>
      </c>
      <c r="I11" s="67">
        <v>0</v>
      </c>
      <c r="J11" s="68">
        <f>G11</f>
        <v>9.9394909299999998</v>
      </c>
      <c r="K11" s="67">
        <v>0</v>
      </c>
      <c r="L11" s="67">
        <v>0</v>
      </c>
      <c r="M11" s="68">
        <f>J11</f>
        <v>9.9394909299999998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4"/>
        <v>44.078000000000003</v>
      </c>
      <c r="S11" s="72">
        <v>1101.95</v>
      </c>
      <c r="T11" s="73">
        <f t="shared" si="5"/>
        <v>3.3576841054494301E-2</v>
      </c>
      <c r="U11" s="70">
        <v>725.25</v>
      </c>
      <c r="V11" s="73">
        <f t="shared" si="6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56.759220000000013</v>
      </c>
      <c r="C12" s="67">
        <v>0</v>
      </c>
      <c r="D12" s="67">
        <v>0</v>
      </c>
      <c r="E12" s="68">
        <f>'18'!N12</f>
        <v>13.482000000000001</v>
      </c>
      <c r="F12" s="67">
        <v>0</v>
      </c>
      <c r="G12" s="67">
        <v>0</v>
      </c>
      <c r="H12" s="69">
        <f>E12*1.07</f>
        <v>14.425740000000003</v>
      </c>
      <c r="I12" s="67">
        <v>0</v>
      </c>
      <c r="J12" s="67">
        <v>0</v>
      </c>
      <c r="K12" s="68">
        <f>H12</f>
        <v>14.425740000000003</v>
      </c>
      <c r="L12" s="67">
        <v>0</v>
      </c>
      <c r="M12" s="67">
        <v>0</v>
      </c>
      <c r="N12" s="68">
        <f>K12</f>
        <v>14.425740000000003</v>
      </c>
      <c r="O12" s="65">
        <v>15</v>
      </c>
      <c r="P12" s="71">
        <v>3.36</v>
      </c>
      <c r="Q12" s="71">
        <f t="shared" si="1"/>
        <v>50.4</v>
      </c>
      <c r="R12" s="72">
        <v>101.07</v>
      </c>
      <c r="S12" s="72">
        <v>1516.02</v>
      </c>
      <c r="T12" s="73">
        <f t="shared" si="5"/>
        <v>3.3244286138319978E-2</v>
      </c>
      <c r="U12" s="70">
        <v>1726.5</v>
      </c>
      <c r="V12" s="73">
        <f t="shared" si="6"/>
        <v>2.9192006950477845E-2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'18'!M13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5"/>
        <v>1.2091908643583045E-2</v>
      </c>
      <c r="U13" s="70">
        <v>1216.5</v>
      </c>
      <c r="V13" s="73">
        <f t="shared" si="6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229.83158037596871</v>
      </c>
      <c r="C14" s="68">
        <f>'18'!N14*1.04</f>
        <v>19.078098063776594</v>
      </c>
      <c r="D14" s="68">
        <f>C14</f>
        <v>19.078098063776594</v>
      </c>
      <c r="E14" s="68">
        <f>D14</f>
        <v>19.078098063776594</v>
      </c>
      <c r="F14" s="68">
        <f>E14*1.0026</f>
        <v>19.127701118742412</v>
      </c>
      <c r="G14" s="68">
        <f>F14</f>
        <v>19.127701118742412</v>
      </c>
      <c r="H14" s="68">
        <f>G14</f>
        <v>19.127701118742412</v>
      </c>
      <c r="I14" s="68">
        <f>H14*1.0026</f>
        <v>19.177433141651139</v>
      </c>
      <c r="J14" s="68">
        <f>I14</f>
        <v>19.177433141651139</v>
      </c>
      <c r="K14" s="68">
        <f>J14</f>
        <v>19.177433141651139</v>
      </c>
      <c r="L14" s="68">
        <f>K14*1.0026</f>
        <v>19.22729446781943</v>
      </c>
      <c r="M14" s="68">
        <f>L14</f>
        <v>19.22729446781943</v>
      </c>
      <c r="N14" s="68">
        <f>M14</f>
        <v>19.22729446781943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5"/>
        <v>6.4042266958263191E-2</v>
      </c>
      <c r="U14" s="70">
        <v>4629.72</v>
      </c>
      <c r="V14" s="73">
        <f t="shared" si="6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58.618880000000011</v>
      </c>
      <c r="C15" s="67">
        <v>0</v>
      </c>
      <c r="D15" s="67">
        <v>0</v>
      </c>
      <c r="E15" s="88">
        <f>'18'!N15*1.07</f>
        <v>14.654720000000003</v>
      </c>
      <c r="F15" s="67">
        <v>0</v>
      </c>
      <c r="G15" s="67">
        <v>0</v>
      </c>
      <c r="H15" s="68">
        <f>E15</f>
        <v>14.654720000000003</v>
      </c>
      <c r="I15" s="67">
        <v>0</v>
      </c>
      <c r="J15" s="67">
        <v>0</v>
      </c>
      <c r="K15" s="68">
        <f>H15</f>
        <v>14.654720000000003</v>
      </c>
      <c r="L15" s="67">
        <v>0</v>
      </c>
      <c r="M15" s="67">
        <v>0</v>
      </c>
      <c r="N15" s="68">
        <f>K15</f>
        <v>14.654720000000003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5"/>
        <v>4.1410546748625043E-2</v>
      </c>
      <c r="U15" s="70">
        <v>1294</v>
      </c>
      <c r="V15" s="73">
        <f t="shared" si="6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66.709407599999992</v>
      </c>
      <c r="C16" s="68">
        <f>'18'!L16</f>
        <v>16.594379999999997</v>
      </c>
      <c r="D16" s="70">
        <v>0</v>
      </c>
      <c r="E16" s="70">
        <v>0</v>
      </c>
      <c r="F16" s="68">
        <f>C16</f>
        <v>16.594379999999997</v>
      </c>
      <c r="G16" s="70">
        <v>0</v>
      </c>
      <c r="H16" s="70">
        <v>0</v>
      </c>
      <c r="I16" s="68">
        <f>F16</f>
        <v>16.594379999999997</v>
      </c>
      <c r="J16" s="70">
        <v>0</v>
      </c>
      <c r="K16" s="70">
        <v>0</v>
      </c>
      <c r="L16" s="69">
        <f>I16*1.02</f>
        <v>16.926267599999999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5"/>
        <v>5.0182081273363072E-2</v>
      </c>
      <c r="U16" s="70">
        <v>1394.38</v>
      </c>
      <c r="V16" s="73">
        <f t="shared" si="6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153.60465599999998</v>
      </c>
      <c r="C17" s="70">
        <v>0</v>
      </c>
      <c r="D17" s="69">
        <f>'18'!M17*1.02</f>
        <v>38.401163999999994</v>
      </c>
      <c r="E17" s="70">
        <v>0</v>
      </c>
      <c r="F17" s="67">
        <v>0</v>
      </c>
      <c r="G17" s="68">
        <f>D17</f>
        <v>38.401163999999994</v>
      </c>
      <c r="H17" s="67">
        <v>0</v>
      </c>
      <c r="I17" s="67">
        <v>0</v>
      </c>
      <c r="J17" s="68">
        <f>G17</f>
        <v>38.401163999999994</v>
      </c>
      <c r="K17" s="67">
        <v>0</v>
      </c>
      <c r="L17" s="67">
        <v>0</v>
      </c>
      <c r="M17" s="68">
        <f>J17</f>
        <v>38.401163999999994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5"/>
        <v>6.0512503859215805E-2</v>
      </c>
      <c r="U17" s="70">
        <v>3007.88</v>
      </c>
      <c r="V17" s="73">
        <f t="shared" si="6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58.041899999999998</v>
      </c>
      <c r="C18" s="68">
        <f>'18'!L18</f>
        <v>13.986000000000001</v>
      </c>
      <c r="D18" s="67">
        <v>0</v>
      </c>
      <c r="E18" s="70">
        <v>0</v>
      </c>
      <c r="F18" s="69">
        <f>C18*1.05</f>
        <v>14.685300000000002</v>
      </c>
      <c r="G18" s="67">
        <v>0</v>
      </c>
      <c r="H18" s="67">
        <v>0</v>
      </c>
      <c r="I18" s="68">
        <f>F18</f>
        <v>14.685300000000002</v>
      </c>
      <c r="J18" s="67">
        <v>0</v>
      </c>
      <c r="K18" s="67">
        <v>0</v>
      </c>
      <c r="L18" s="68">
        <f>I18</f>
        <v>14.685300000000002</v>
      </c>
      <c r="M18" s="67">
        <v>0</v>
      </c>
      <c r="N18" s="67">
        <v>0</v>
      </c>
      <c r="O18" s="65">
        <v>30</v>
      </c>
      <c r="P18" s="70">
        <v>1.8</v>
      </c>
      <c r="Q18" s="70">
        <f t="shared" si="1"/>
        <v>54</v>
      </c>
      <c r="R18" s="72">
        <v>42.25</v>
      </c>
      <c r="S18" s="70">
        <v>1267.49</v>
      </c>
      <c r="T18" s="73">
        <f t="shared" si="5"/>
        <v>4.2603550295857988E-2</v>
      </c>
      <c r="U18" s="70">
        <v>1485</v>
      </c>
      <c r="V18" s="73">
        <f t="shared" si="6"/>
        <v>3.6363636363636362E-2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166.60980000000004</v>
      </c>
      <c r="C19" s="70">
        <v>0</v>
      </c>
      <c r="D19" s="70">
        <v>0</v>
      </c>
      <c r="E19" s="69">
        <f>'18'!N19*1.05</f>
        <v>41.652450000000009</v>
      </c>
      <c r="F19" s="70">
        <v>0</v>
      </c>
      <c r="G19" s="70">
        <v>0</v>
      </c>
      <c r="H19" s="68">
        <f>E19</f>
        <v>41.652450000000009</v>
      </c>
      <c r="I19" s="70">
        <v>0</v>
      </c>
      <c r="J19" s="70">
        <v>0</v>
      </c>
      <c r="K19" s="68">
        <f>H19</f>
        <v>41.652450000000009</v>
      </c>
      <c r="L19" s="70">
        <v>0</v>
      </c>
      <c r="M19" s="70">
        <v>0</v>
      </c>
      <c r="N19" s="68">
        <f>K19</f>
        <v>41.652450000000009</v>
      </c>
      <c r="O19" s="65">
        <v>100</v>
      </c>
      <c r="P19" s="70">
        <v>1.53</v>
      </c>
      <c r="Q19" s="70">
        <f t="shared" si="1"/>
        <v>153</v>
      </c>
      <c r="R19" s="72">
        <v>39.590000000000003</v>
      </c>
      <c r="S19" s="70">
        <v>3962.41</v>
      </c>
      <c r="T19" s="73">
        <f t="shared" si="5"/>
        <v>3.864612275827229E-2</v>
      </c>
      <c r="U19" s="70">
        <v>4027</v>
      </c>
      <c r="V19" s="73">
        <f t="shared" si="6"/>
        <v>3.7993543580829403E-2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ref="B20" si="7">SUM(C20:N20)</f>
        <v>66.233999999999995</v>
      </c>
      <c r="C20" s="70">
        <v>0</v>
      </c>
      <c r="D20" s="70">
        <v>0</v>
      </c>
      <c r="E20" s="68">
        <f>'18'!N20</f>
        <v>15.959999999999999</v>
      </c>
      <c r="F20" s="70">
        <v>0</v>
      </c>
      <c r="G20" s="70">
        <v>0</v>
      </c>
      <c r="H20" s="69">
        <f>E20*1.05</f>
        <v>16.757999999999999</v>
      </c>
      <c r="I20" s="70">
        <v>0</v>
      </c>
      <c r="J20" s="70">
        <v>0</v>
      </c>
      <c r="K20" s="68">
        <f>H20</f>
        <v>16.757999999999999</v>
      </c>
      <c r="L20" s="70">
        <v>0</v>
      </c>
      <c r="M20" s="70">
        <v>0</v>
      </c>
      <c r="N20" s="68">
        <f>K20</f>
        <v>16.757999999999999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50.329125000000005</v>
      </c>
      <c r="C21" s="70">
        <v>0</v>
      </c>
      <c r="D21" s="70">
        <v>0</v>
      </c>
      <c r="E21" s="68">
        <f>'18'!N21</f>
        <v>12.127500000000001</v>
      </c>
      <c r="F21" s="70">
        <v>0</v>
      </c>
      <c r="G21" s="70">
        <v>0</v>
      </c>
      <c r="H21" s="69">
        <f>E21*1.05</f>
        <v>12.733875000000001</v>
      </c>
      <c r="I21" s="70">
        <v>0</v>
      </c>
      <c r="J21" s="70">
        <v>0</v>
      </c>
      <c r="K21" s="68">
        <f>H21</f>
        <v>12.733875000000001</v>
      </c>
      <c r="L21" s="70">
        <v>0</v>
      </c>
      <c r="M21" s="70">
        <v>0</v>
      </c>
      <c r="N21" s="68">
        <f>K21</f>
        <v>12.733875000000001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5"/>
        <v>3.2403997895844291E-2</v>
      </c>
      <c r="U21" s="70">
        <v>1354.5</v>
      </c>
      <c r="V21" s="73">
        <f t="shared" si="6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8">SUM(B3:B21)</f>
        <v>1836.8664912649406</v>
      </c>
      <c r="C23" s="79">
        <f t="shared" si="8"/>
        <v>122.07753574377661</v>
      </c>
      <c r="D23" s="79">
        <f t="shared" si="8"/>
        <v>101.77456799377659</v>
      </c>
      <c r="E23" s="79">
        <f t="shared" si="8"/>
        <v>228.27676806377661</v>
      </c>
      <c r="F23" s="79">
        <f t="shared" si="8"/>
        <v>125.17988895234241</v>
      </c>
      <c r="G23" s="79">
        <f t="shared" si="8"/>
        <v>102.9503667592424</v>
      </c>
      <c r="H23" s="79">
        <f t="shared" si="8"/>
        <v>231.25448611874245</v>
      </c>
      <c r="I23" s="79">
        <f t="shared" si="8"/>
        <v>125.81962097525114</v>
      </c>
      <c r="J23" s="79">
        <f t="shared" si="8"/>
        <v>103.61009878215113</v>
      </c>
      <c r="K23" s="79">
        <f t="shared" si="8"/>
        <v>231.92421814165118</v>
      </c>
      <c r="L23" s="79">
        <f t="shared" si="8"/>
        <v>127.07490015809145</v>
      </c>
      <c r="M23" s="79">
        <f t="shared" si="8"/>
        <v>104.29996010831942</v>
      </c>
      <c r="N23" s="79">
        <f t="shared" si="8"/>
        <v>232.62407946781946</v>
      </c>
      <c r="O23" s="80"/>
      <c r="P23" s="64"/>
      <c r="Q23" s="81">
        <f>SUM(Q3:Q21)</f>
        <v>1661.5877787999998</v>
      </c>
      <c r="R23" s="78"/>
      <c r="S23" s="81">
        <f>SUM(S3:S21)</f>
        <v>37541.48000000001</v>
      </c>
      <c r="T23" s="82">
        <f>Q23/S23</f>
        <v>4.4260049918117224E-2</v>
      </c>
      <c r="U23" s="81">
        <f>SUM(U3:U22)</f>
        <v>39461.630000000005</v>
      </c>
      <c r="V23" s="82">
        <f>B23/U23</f>
        <v>4.6548165680559583E-2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2018</v>
      </c>
      <c r="B25" s="70">
        <f>SUM(C25:N25)</f>
        <v>1745.7291427758726</v>
      </c>
      <c r="C25" s="68">
        <f>'18'!C23</f>
        <v>115.17118016000001</v>
      </c>
      <c r="D25" s="68">
        <f>'18'!D23</f>
        <v>97.328730159999992</v>
      </c>
      <c r="E25" s="68">
        <f>'18'!E23</f>
        <v>225.39688015999999</v>
      </c>
      <c r="F25" s="68">
        <f>'18'!F23</f>
        <v>117.96948930841599</v>
      </c>
      <c r="G25" s="68">
        <f>'18'!G23</f>
        <v>98.341870308415992</v>
      </c>
      <c r="H25" s="68">
        <f>'18'!H23</f>
        <v>217.863805308416</v>
      </c>
      <c r="I25" s="68">
        <f>'18'!I23</f>
        <v>118.47693750221789</v>
      </c>
      <c r="J25" s="68">
        <f>'18'!J23</f>
        <v>98.85931850221786</v>
      </c>
      <c r="K25" s="68">
        <f>'18'!K23</f>
        <v>218.39125350221789</v>
      </c>
      <c r="L25" s="68">
        <f>'18'!L23</f>
        <v>119.57396274132365</v>
      </c>
      <c r="M25" s="68">
        <f>'18'!M23</f>
        <v>99.406890061323651</v>
      </c>
      <c r="N25" s="68">
        <f>'18'!N23</f>
        <v>218.94882506132367</v>
      </c>
      <c r="T25" s="84" t="s">
        <v>84</v>
      </c>
      <c r="U25" s="70"/>
    </row>
    <row r="26" spans="1:25" x14ac:dyDescent="0.2">
      <c r="A26" s="83" t="s">
        <v>40</v>
      </c>
      <c r="B26" s="73">
        <f t="shared" ref="B26:N26" si="9">(B23-B25)/B25</f>
        <v>5.2205892801990526E-2</v>
      </c>
      <c r="C26" s="73">
        <f t="shared" si="9"/>
        <v>5.9966005160162816E-2</v>
      </c>
      <c r="D26" s="73">
        <f t="shared" si="9"/>
        <v>4.5678576371725198E-2</v>
      </c>
      <c r="E26" s="73">
        <f t="shared" si="9"/>
        <v>1.2776964356082948E-2</v>
      </c>
      <c r="F26" s="73">
        <f t="shared" si="9"/>
        <v>6.1120885461119219E-2</v>
      </c>
      <c r="G26" s="73">
        <f t="shared" si="9"/>
        <v>4.686199719787125E-2</v>
      </c>
      <c r="H26" s="73">
        <f t="shared" si="9"/>
        <v>6.146354045074217E-2</v>
      </c>
      <c r="I26" s="73">
        <f t="shared" si="9"/>
        <v>6.1975635324771898E-2</v>
      </c>
      <c r="J26" s="73">
        <f t="shared" si="9"/>
        <v>4.8055968338752864E-2</v>
      </c>
      <c r="K26" s="73">
        <f t="shared" si="9"/>
        <v>6.1966605449681404E-2</v>
      </c>
      <c r="L26" s="73">
        <f t="shared" si="9"/>
        <v>6.2730524646027672E-2</v>
      </c>
      <c r="M26" s="73">
        <f t="shared" si="9"/>
        <v>4.9222644868753683E-2</v>
      </c>
      <c r="N26" s="73">
        <f t="shared" si="9"/>
        <v>6.2458679112187908E-2</v>
      </c>
      <c r="T26" s="84" t="s">
        <v>85</v>
      </c>
      <c r="U26" s="85">
        <f>U25/U23</f>
        <v>0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  <ignoredErrors>
    <ignoredError sqref="B20 F14:L1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U26" sqref="T25:U26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44.002939863856042</v>
      </c>
      <c r="C3" s="67">
        <v>0</v>
      </c>
      <c r="D3" s="68">
        <f>'19'!M3</f>
        <v>10.552010710499998</v>
      </c>
      <c r="E3" s="67">
        <v>0</v>
      </c>
      <c r="F3" s="67">
        <v>0</v>
      </c>
      <c r="G3" s="69">
        <f>D3*1.0567</f>
        <v>11.150309717785348</v>
      </c>
      <c r="H3" s="67">
        <v>0</v>
      </c>
      <c r="I3" s="67">
        <v>0</v>
      </c>
      <c r="J3" s="68">
        <f>G3</f>
        <v>11.150309717785348</v>
      </c>
      <c r="K3" s="67">
        <v>0</v>
      </c>
      <c r="L3" s="67">
        <v>0</v>
      </c>
      <c r="M3" s="68">
        <f>J3</f>
        <v>11.150309717785348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247.91000000000003</v>
      </c>
      <c r="C4" s="68">
        <f>'19'!N4+0.23</f>
        <v>19.290000000000003</v>
      </c>
      <c r="D4" s="68">
        <f>C4+0.23</f>
        <v>19.520000000000003</v>
      </c>
      <c r="E4" s="68">
        <f>D4+0.24</f>
        <v>19.760000000000002</v>
      </c>
      <c r="F4" s="68">
        <f>E4+0.24</f>
        <v>20</v>
      </c>
      <c r="G4" s="68">
        <f>F4+0.25</f>
        <v>20.25</v>
      </c>
      <c r="H4" s="68">
        <f>G4+0.25</f>
        <v>20.5</v>
      </c>
      <c r="I4" s="68">
        <f>H4+0.26</f>
        <v>20.76</v>
      </c>
      <c r="J4" s="68">
        <f>I4+0.26</f>
        <v>21.020000000000003</v>
      </c>
      <c r="K4" s="68">
        <f>J4+0.27</f>
        <v>21.290000000000003</v>
      </c>
      <c r="L4" s="68">
        <f>K4+0.27</f>
        <v>21.560000000000002</v>
      </c>
      <c r="M4" s="68">
        <f>L4+0.28</f>
        <v>21.840000000000003</v>
      </c>
      <c r="N4" s="68">
        <f>M4+0.28</f>
        <v>22.120000000000005</v>
      </c>
      <c r="O4" s="65">
        <v>74.287000000000006</v>
      </c>
      <c r="P4" s="71">
        <v>2.64</v>
      </c>
      <c r="Q4" s="71">
        <f t="shared" si="1"/>
        <v>196.11768000000004</v>
      </c>
      <c r="R4" s="72">
        <f t="shared" ref="R4:R11" si="4">S4/O4</f>
        <v>30.086286968110166</v>
      </c>
      <c r="S4" s="72">
        <v>2235.02</v>
      </c>
      <c r="T4" s="73">
        <f t="shared" ref="T4:T21" si="5">P4/R4</f>
        <v>8.7747617470984612E-2</v>
      </c>
      <c r="U4" s="70">
        <v>1545.65</v>
      </c>
      <c r="V4" s="73">
        <f t="shared" ref="V4:V21" si="6">Q4/U4</f>
        <v>0.12688362824701582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147.22559999999999</v>
      </c>
      <c r="C5" s="67">
        <v>0</v>
      </c>
      <c r="D5" s="67">
        <v>0</v>
      </c>
      <c r="E5" s="69">
        <f>'19'!N5*1.2</f>
        <v>36.806399999999996</v>
      </c>
      <c r="F5" s="67">
        <v>0</v>
      </c>
      <c r="G5" s="67">
        <v>0</v>
      </c>
      <c r="H5" s="68">
        <f>E5</f>
        <v>36.806399999999996</v>
      </c>
      <c r="I5" s="67">
        <v>0</v>
      </c>
      <c r="J5" s="67">
        <v>0</v>
      </c>
      <c r="K5" s="68">
        <f>H5</f>
        <v>36.806399999999996</v>
      </c>
      <c r="L5" s="67">
        <v>0</v>
      </c>
      <c r="M5" s="67">
        <v>0</v>
      </c>
      <c r="N5" s="68">
        <f>K5</f>
        <v>36.806399999999996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50.678743825545872</v>
      </c>
      <c r="C6" s="68">
        <f>'19'!L6</f>
        <v>12.420043090272001</v>
      </c>
      <c r="D6" s="67">
        <v>0</v>
      </c>
      <c r="E6" s="67">
        <v>0</v>
      </c>
      <c r="F6" s="69">
        <f>C6*1.02</f>
        <v>12.668443952077441</v>
      </c>
      <c r="G6" s="67">
        <v>0</v>
      </c>
      <c r="H6" s="67">
        <v>0</v>
      </c>
      <c r="I6" s="68">
        <f>F6</f>
        <v>12.668443952077441</v>
      </c>
      <c r="J6" s="67">
        <v>0</v>
      </c>
      <c r="K6" s="67">
        <v>0</v>
      </c>
      <c r="L6" s="69">
        <f>I6*1.02</f>
        <v>12.92181283111899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4"/>
        <v>51.681500000000007</v>
      </c>
      <c r="S6" s="72">
        <v>1033.6300000000001</v>
      </c>
      <c r="T6" s="73">
        <f t="shared" si="5"/>
        <v>4.1794452560393949E-2</v>
      </c>
      <c r="U6" s="70">
        <v>1124.4000000000001</v>
      </c>
      <c r="V6" s="73">
        <f t="shared" si="6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'19'!N7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4"/>
        <v>43.217272727272722</v>
      </c>
      <c r="S7" s="70">
        <v>2376.9499999999998</v>
      </c>
      <c r="T7" s="73">
        <f t="shared" si="5"/>
        <v>5.5533351563979053E-2</v>
      </c>
      <c r="U7" s="70">
        <v>2048.75</v>
      </c>
      <c r="V7" s="73">
        <f t="shared" si="6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ref="B8" si="7">SUM(C8:N8)</f>
        <v>80.91733265000002</v>
      </c>
      <c r="C8" s="68">
        <f>'19'!L8</f>
        <v>18.950195000000001</v>
      </c>
      <c r="D8" s="67">
        <v>0</v>
      </c>
      <c r="E8" s="67">
        <v>0</v>
      </c>
      <c r="F8" s="69">
        <f>C8*1.09</f>
        <v>20.655712550000004</v>
      </c>
      <c r="G8" s="67"/>
      <c r="H8" s="67"/>
      <c r="I8" s="68">
        <f>F8</f>
        <v>20.655712550000004</v>
      </c>
      <c r="J8" s="67"/>
      <c r="K8" s="67"/>
      <c r="L8" s="68">
        <f>I8</f>
        <v>20.655712550000004</v>
      </c>
      <c r="M8" s="67"/>
      <c r="N8" s="67"/>
      <c r="O8" s="65">
        <v>55</v>
      </c>
      <c r="P8" s="71">
        <v>1.1599999999999999</v>
      </c>
      <c r="Q8" s="70">
        <f t="shared" si="1"/>
        <v>63.8</v>
      </c>
      <c r="R8" s="72">
        <f t="shared" si="4"/>
        <v>23.256363636363634</v>
      </c>
      <c r="S8" s="72">
        <v>1279.0999999999999</v>
      </c>
      <c r="T8" s="73">
        <f t="shared" si="5"/>
        <v>4.9878821046048002E-2</v>
      </c>
      <c r="U8" s="70">
        <v>1673.1</v>
      </c>
      <c r="V8" s="73">
        <f t="shared" si="6"/>
        <v>3.8132807363576597E-2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'19'!N9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0.65</v>
      </c>
      <c r="Q9" s="71">
        <f t="shared" si="1"/>
        <v>133.11870000000002</v>
      </c>
      <c r="R9" s="72">
        <f t="shared" si="4"/>
        <v>12.055439994531195</v>
      </c>
      <c r="S9" s="72">
        <v>2468.9299999999998</v>
      </c>
      <c r="T9" s="73">
        <f t="shared" si="5"/>
        <v>5.3917567529253571E-2</v>
      </c>
      <c r="U9" s="70">
        <v>2508.7800000000002</v>
      </c>
      <c r="V9" s="73">
        <f t="shared" si="6"/>
        <v>5.3061129313849764E-2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110.23236000000001</v>
      </c>
      <c r="C10" s="69">
        <f>'19'!L10*1.05</f>
        <v>27.558090000000004</v>
      </c>
      <c r="D10" s="67">
        <v>0</v>
      </c>
      <c r="E10" s="67">
        <v>0</v>
      </c>
      <c r="F10" s="68">
        <f>C10</f>
        <v>27.558090000000004</v>
      </c>
      <c r="G10" s="67">
        <v>0</v>
      </c>
      <c r="H10" s="67">
        <v>0</v>
      </c>
      <c r="I10" s="68">
        <f>F10</f>
        <v>27.558090000000004</v>
      </c>
      <c r="J10" s="67">
        <v>0</v>
      </c>
      <c r="K10" s="67">
        <v>0</v>
      </c>
      <c r="L10" s="68">
        <f>I10</f>
        <v>27.558090000000004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4"/>
        <v>25.006500000000003</v>
      </c>
      <c r="S10" s="72">
        <v>2500.65</v>
      </c>
      <c r="T10" s="73">
        <f t="shared" si="5"/>
        <v>3.8390018595165248E-2</v>
      </c>
      <c r="U10" s="70">
        <v>3170</v>
      </c>
      <c r="V10" s="73">
        <f t="shared" si="6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41.213105192152</v>
      </c>
      <c r="C11" s="67">
        <v>0</v>
      </c>
      <c r="D11" s="69">
        <f>'19'!M11*1.0366</f>
        <v>10.303276298038</v>
      </c>
      <c r="E11" s="67">
        <v>0</v>
      </c>
      <c r="F11" s="67">
        <v>0</v>
      </c>
      <c r="G11" s="68">
        <f>D11</f>
        <v>10.303276298038</v>
      </c>
      <c r="H11" s="67">
        <v>0</v>
      </c>
      <c r="I11" s="67">
        <v>0</v>
      </c>
      <c r="J11" s="68">
        <f>G11</f>
        <v>10.303276298038</v>
      </c>
      <c r="K11" s="67">
        <v>0</v>
      </c>
      <c r="L11" s="67">
        <v>0</v>
      </c>
      <c r="M11" s="68">
        <f>J11</f>
        <v>10.303276298038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4"/>
        <v>44.078000000000003</v>
      </c>
      <c r="S11" s="72">
        <v>1101.95</v>
      </c>
      <c r="T11" s="73">
        <f t="shared" si="5"/>
        <v>3.3576841054494301E-2</v>
      </c>
      <c r="U11" s="70">
        <v>725.25</v>
      </c>
      <c r="V11" s="73">
        <f t="shared" si="6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60.732365400000013</v>
      </c>
      <c r="C12" s="67">
        <v>0</v>
      </c>
      <c r="D12" s="67">
        <v>0</v>
      </c>
      <c r="E12" s="68">
        <f>'19'!N12</f>
        <v>14.425740000000003</v>
      </c>
      <c r="F12" s="67">
        <v>0</v>
      </c>
      <c r="G12" s="67">
        <v>0</v>
      </c>
      <c r="H12" s="69">
        <f>E12*1.07</f>
        <v>15.435541800000005</v>
      </c>
      <c r="I12" s="67">
        <v>0</v>
      </c>
      <c r="J12" s="67">
        <v>0</v>
      </c>
      <c r="K12" s="68">
        <f>H12</f>
        <v>15.435541800000005</v>
      </c>
      <c r="L12" s="67">
        <v>0</v>
      </c>
      <c r="M12" s="67">
        <v>0</v>
      </c>
      <c r="N12" s="68">
        <f>K12</f>
        <v>15.435541800000005</v>
      </c>
      <c r="O12" s="65">
        <v>15</v>
      </c>
      <c r="P12" s="71">
        <v>3.36</v>
      </c>
      <c r="Q12" s="71">
        <f t="shared" si="1"/>
        <v>50.4</v>
      </c>
      <c r="R12" s="72">
        <v>101.07</v>
      </c>
      <c r="S12" s="72">
        <v>1516.02</v>
      </c>
      <c r="T12" s="73">
        <f t="shared" si="5"/>
        <v>3.3244286138319978E-2</v>
      </c>
      <c r="U12" s="70">
        <v>1726.5</v>
      </c>
      <c r="V12" s="73">
        <f t="shared" si="6"/>
        <v>2.9192006950477845E-2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'19'!M13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5"/>
        <v>1.2091908643583045E-2</v>
      </c>
      <c r="U13" s="70">
        <v>1216.5</v>
      </c>
      <c r="V13" s="73">
        <f t="shared" si="6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240.89408899594591</v>
      </c>
      <c r="C14" s="68">
        <f>'19'!N14*1.04</f>
        <v>19.996386246532207</v>
      </c>
      <c r="D14" s="68">
        <f>C14</f>
        <v>19.996386246532207</v>
      </c>
      <c r="E14" s="68">
        <f>D14</f>
        <v>19.996386246532207</v>
      </c>
      <c r="F14" s="68">
        <f>E14*1.0026</f>
        <v>20.048376850773188</v>
      </c>
      <c r="G14" s="68">
        <f>F14</f>
        <v>20.048376850773188</v>
      </c>
      <c r="H14" s="68">
        <f>G14</f>
        <v>20.048376850773188</v>
      </c>
      <c r="I14" s="68">
        <f>H14*1.0026</f>
        <v>20.100502630585197</v>
      </c>
      <c r="J14" s="68">
        <f>I14</f>
        <v>20.100502630585197</v>
      </c>
      <c r="K14" s="68">
        <f>J14</f>
        <v>20.100502630585197</v>
      </c>
      <c r="L14" s="68">
        <f>K14*1.0026</f>
        <v>20.152763937424716</v>
      </c>
      <c r="M14" s="68">
        <f>L14</f>
        <v>20.152763937424716</v>
      </c>
      <c r="N14" s="68">
        <f>M14</f>
        <v>20.152763937424716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5"/>
        <v>6.4042266958263191E-2</v>
      </c>
      <c r="U14" s="70">
        <v>4629.72</v>
      </c>
      <c r="V14" s="73">
        <f t="shared" si="6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62.722201600000012</v>
      </c>
      <c r="C15" s="67">
        <v>0</v>
      </c>
      <c r="D15" s="67">
        <v>0</v>
      </c>
      <c r="E15" s="88">
        <f>'19'!N15*1.07</f>
        <v>15.680550400000003</v>
      </c>
      <c r="F15" s="67">
        <v>0</v>
      </c>
      <c r="G15" s="67">
        <v>0</v>
      </c>
      <c r="H15" s="68">
        <f>E15</f>
        <v>15.680550400000003</v>
      </c>
      <c r="I15" s="67">
        <v>0</v>
      </c>
      <c r="J15" s="67">
        <v>0</v>
      </c>
      <c r="K15" s="68">
        <f>H15</f>
        <v>15.680550400000003</v>
      </c>
      <c r="L15" s="67">
        <v>0</v>
      </c>
      <c r="M15" s="67">
        <v>0</v>
      </c>
      <c r="N15" s="68">
        <f>K15</f>
        <v>15.680550400000003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5"/>
        <v>4.1410546748625043E-2</v>
      </c>
      <c r="U15" s="70">
        <v>1294</v>
      </c>
      <c r="V15" s="73">
        <f t="shared" si="6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68.043595751999987</v>
      </c>
      <c r="C16" s="68">
        <f>'19'!L16</f>
        <v>16.926267599999999</v>
      </c>
      <c r="D16" s="70">
        <v>0</v>
      </c>
      <c r="E16" s="70">
        <v>0</v>
      </c>
      <c r="F16" s="68">
        <f>C16</f>
        <v>16.926267599999999</v>
      </c>
      <c r="G16" s="70">
        <v>0</v>
      </c>
      <c r="H16" s="70">
        <v>0</v>
      </c>
      <c r="I16" s="68">
        <f>F16</f>
        <v>16.926267599999999</v>
      </c>
      <c r="J16" s="70">
        <v>0</v>
      </c>
      <c r="K16" s="70">
        <v>0</v>
      </c>
      <c r="L16" s="69">
        <f>I16*1.02</f>
        <v>17.264792952000001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5"/>
        <v>5.0182081273363072E-2</v>
      </c>
      <c r="U16" s="70">
        <v>1394.38</v>
      </c>
      <c r="V16" s="73">
        <f t="shared" si="6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156.67674911999998</v>
      </c>
      <c r="C17" s="70">
        <v>0</v>
      </c>
      <c r="D17" s="69">
        <f>'19'!M17*1.02</f>
        <v>39.169187279999996</v>
      </c>
      <c r="E17" s="70">
        <v>0</v>
      </c>
      <c r="F17" s="67">
        <v>0</v>
      </c>
      <c r="G17" s="68">
        <f>D17</f>
        <v>39.169187279999996</v>
      </c>
      <c r="H17" s="67">
        <v>0</v>
      </c>
      <c r="I17" s="67">
        <v>0</v>
      </c>
      <c r="J17" s="68">
        <f>G17</f>
        <v>39.169187279999996</v>
      </c>
      <c r="K17" s="67">
        <v>0</v>
      </c>
      <c r="L17" s="67">
        <v>0</v>
      </c>
      <c r="M17" s="68">
        <f>J17</f>
        <v>39.169187279999996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5"/>
        <v>6.0512503859215805E-2</v>
      </c>
      <c r="U17" s="70">
        <v>3007.88</v>
      </c>
      <c r="V17" s="73">
        <f t="shared" si="6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60.943995000000015</v>
      </c>
      <c r="C18" s="68">
        <f>'19'!L18</f>
        <v>14.685300000000002</v>
      </c>
      <c r="D18" s="67">
        <v>0</v>
      </c>
      <c r="E18" s="70">
        <v>0</v>
      </c>
      <c r="F18" s="69">
        <f>C18*1.05</f>
        <v>15.419565000000002</v>
      </c>
      <c r="G18" s="67">
        <v>0</v>
      </c>
      <c r="H18" s="67">
        <v>0</v>
      </c>
      <c r="I18" s="68">
        <f>F18</f>
        <v>15.419565000000002</v>
      </c>
      <c r="J18" s="67">
        <v>0</v>
      </c>
      <c r="K18" s="67">
        <v>0</v>
      </c>
      <c r="L18" s="68">
        <f>I18</f>
        <v>15.419565000000002</v>
      </c>
      <c r="M18" s="67">
        <v>0</v>
      </c>
      <c r="N18" s="67">
        <v>0</v>
      </c>
      <c r="O18" s="65">
        <v>30</v>
      </c>
      <c r="P18" s="70">
        <v>1.8</v>
      </c>
      <c r="Q18" s="70">
        <f t="shared" si="1"/>
        <v>54</v>
      </c>
      <c r="R18" s="72">
        <v>42.25</v>
      </c>
      <c r="S18" s="70">
        <v>1267.49</v>
      </c>
      <c r="T18" s="73">
        <f t="shared" si="5"/>
        <v>4.2603550295857988E-2</v>
      </c>
      <c r="U18" s="70">
        <v>1485</v>
      </c>
      <c r="V18" s="73">
        <f t="shared" si="6"/>
        <v>3.6363636363636362E-2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174.94029000000003</v>
      </c>
      <c r="C19" s="70">
        <v>0</v>
      </c>
      <c r="D19" s="70">
        <v>0</v>
      </c>
      <c r="E19" s="69">
        <f>'19'!N19*1.05</f>
        <v>43.735072500000008</v>
      </c>
      <c r="F19" s="70">
        <v>0</v>
      </c>
      <c r="G19" s="70">
        <v>0</v>
      </c>
      <c r="H19" s="68">
        <f>E19</f>
        <v>43.735072500000008</v>
      </c>
      <c r="I19" s="70">
        <v>0</v>
      </c>
      <c r="J19" s="70">
        <v>0</v>
      </c>
      <c r="K19" s="68">
        <f>H19</f>
        <v>43.735072500000008</v>
      </c>
      <c r="L19" s="70">
        <v>0</v>
      </c>
      <c r="M19" s="70">
        <v>0</v>
      </c>
      <c r="N19" s="68">
        <f>K19</f>
        <v>43.735072500000008</v>
      </c>
      <c r="O19" s="65">
        <v>100</v>
      </c>
      <c r="P19" s="70">
        <v>1.53</v>
      </c>
      <c r="Q19" s="70">
        <f t="shared" si="1"/>
        <v>153</v>
      </c>
      <c r="R19" s="72">
        <v>39.590000000000003</v>
      </c>
      <c r="S19" s="70">
        <v>3962.41</v>
      </c>
      <c r="T19" s="73">
        <f t="shared" si="5"/>
        <v>3.864612275827229E-2</v>
      </c>
      <c r="U19" s="70">
        <v>4027</v>
      </c>
      <c r="V19" s="73">
        <f t="shared" si="6"/>
        <v>3.7993543580829403E-2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ref="B20" si="8">SUM(C20:N20)</f>
        <v>69.545699999999997</v>
      </c>
      <c r="C20" s="70">
        <v>0</v>
      </c>
      <c r="D20" s="70">
        <v>0</v>
      </c>
      <c r="E20" s="68">
        <f>'19'!N20</f>
        <v>16.757999999999999</v>
      </c>
      <c r="F20" s="70">
        <v>0</v>
      </c>
      <c r="G20" s="70">
        <v>0</v>
      </c>
      <c r="H20" s="69">
        <f>E20*1.05</f>
        <v>17.5959</v>
      </c>
      <c r="I20" s="70">
        <v>0</v>
      </c>
      <c r="J20" s="70">
        <v>0</v>
      </c>
      <c r="K20" s="68">
        <f>H20</f>
        <v>17.5959</v>
      </c>
      <c r="L20" s="70">
        <v>0</v>
      </c>
      <c r="M20" s="70">
        <v>0</v>
      </c>
      <c r="N20" s="68">
        <f>K20</f>
        <v>17.5959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52.845581250000009</v>
      </c>
      <c r="C21" s="70">
        <v>0</v>
      </c>
      <c r="D21" s="70">
        <v>0</v>
      </c>
      <c r="E21" s="68">
        <f>'19'!N21</f>
        <v>12.733875000000001</v>
      </c>
      <c r="F21" s="70">
        <v>0</v>
      </c>
      <c r="G21" s="70">
        <v>0</v>
      </c>
      <c r="H21" s="69">
        <f>E21*1.05</f>
        <v>13.370568750000002</v>
      </c>
      <c r="I21" s="70">
        <v>0</v>
      </c>
      <c r="J21" s="70">
        <v>0</v>
      </c>
      <c r="K21" s="68">
        <f>H21</f>
        <v>13.370568750000002</v>
      </c>
      <c r="L21" s="70">
        <v>0</v>
      </c>
      <c r="M21" s="70">
        <v>0</v>
      </c>
      <c r="N21" s="68">
        <f>K21</f>
        <v>13.370568750000002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5"/>
        <v>3.2403997895844291E-2</v>
      </c>
      <c r="U21" s="70">
        <v>1354.5</v>
      </c>
      <c r="V21" s="73">
        <f t="shared" si="6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9">SUM(B3:B21)</f>
        <v>1952.6446486494997</v>
      </c>
      <c r="C23" s="79">
        <f t="shared" si="9"/>
        <v>129.82628193680424</v>
      </c>
      <c r="D23" s="79">
        <f t="shared" si="9"/>
        <v>106.88086053507021</v>
      </c>
      <c r="E23" s="79">
        <f t="shared" si="9"/>
        <v>243.33602414653225</v>
      </c>
      <c r="F23" s="79">
        <f t="shared" si="9"/>
        <v>133.27645595285063</v>
      </c>
      <c r="G23" s="79">
        <f t="shared" si="9"/>
        <v>108.26115014659652</v>
      </c>
      <c r="H23" s="79">
        <f t="shared" si="9"/>
        <v>246.61241030077321</v>
      </c>
      <c r="I23" s="79">
        <f t="shared" si="9"/>
        <v>134.08858173266265</v>
      </c>
      <c r="J23" s="79">
        <f t="shared" si="9"/>
        <v>109.08327592640853</v>
      </c>
      <c r="K23" s="79">
        <f t="shared" si="9"/>
        <v>247.4545360805852</v>
      </c>
      <c r="L23" s="79">
        <f t="shared" si="9"/>
        <v>135.53273727054372</v>
      </c>
      <c r="M23" s="79">
        <f t="shared" si="9"/>
        <v>109.95553723324807</v>
      </c>
      <c r="N23" s="79">
        <f t="shared" si="9"/>
        <v>248.33679738742472</v>
      </c>
      <c r="O23" s="80"/>
      <c r="P23" s="64"/>
      <c r="Q23" s="81">
        <f>SUM(Q3:Q21)</f>
        <v>1688.3310987999998</v>
      </c>
      <c r="R23" s="78"/>
      <c r="S23" s="81">
        <f>SUM(S3:S21)</f>
        <v>37541.48000000001</v>
      </c>
      <c r="T23" s="82">
        <f>Q23/S23</f>
        <v>4.4972417144982013E-2</v>
      </c>
      <c r="U23" s="81">
        <f>SUM(U3:U22)</f>
        <v>39461.630000000005</v>
      </c>
      <c r="V23" s="82">
        <f>B23/U23</f>
        <v>4.9482108282133792E-2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2019</v>
      </c>
      <c r="B25" s="70">
        <f>SUM(C25:N25)</f>
        <v>1836.8664912649408</v>
      </c>
      <c r="C25" s="68">
        <f>'19'!C23</f>
        <v>122.07753574377661</v>
      </c>
      <c r="D25" s="68">
        <f>'19'!D23</f>
        <v>101.77456799377659</v>
      </c>
      <c r="E25" s="68">
        <f>'19'!E23</f>
        <v>228.27676806377661</v>
      </c>
      <c r="F25" s="68">
        <f>'19'!F23</f>
        <v>125.17988895234241</v>
      </c>
      <c r="G25" s="68">
        <f>'19'!G23</f>
        <v>102.9503667592424</v>
      </c>
      <c r="H25" s="68">
        <f>'19'!H23</f>
        <v>231.25448611874245</v>
      </c>
      <c r="I25" s="68">
        <f>'19'!I23</f>
        <v>125.81962097525114</v>
      </c>
      <c r="J25" s="68">
        <f>'19'!J23</f>
        <v>103.61009878215113</v>
      </c>
      <c r="K25" s="68">
        <f>'19'!K23</f>
        <v>231.92421814165118</v>
      </c>
      <c r="L25" s="68">
        <f>'19'!L23</f>
        <v>127.07490015809145</v>
      </c>
      <c r="M25" s="68">
        <f>'19'!M23</f>
        <v>104.29996010831942</v>
      </c>
      <c r="N25" s="68">
        <f>'19'!N23</f>
        <v>232.62407946781946</v>
      </c>
      <c r="T25" s="84" t="s">
        <v>84</v>
      </c>
      <c r="U25" s="70"/>
    </row>
    <row r="26" spans="1:25" x14ac:dyDescent="0.2">
      <c r="A26" s="83" t="s">
        <v>40</v>
      </c>
      <c r="B26" s="73">
        <f t="shared" ref="B26:N26" si="10">(B23-B25)/B25</f>
        <v>6.3030251754894476E-2</v>
      </c>
      <c r="C26" s="73">
        <f t="shared" si="10"/>
        <v>6.3473972879753607E-2</v>
      </c>
      <c r="D26" s="73">
        <f t="shared" si="10"/>
        <v>5.0172578886366496E-2</v>
      </c>
      <c r="E26" s="73">
        <f t="shared" si="10"/>
        <v>6.5969288992861252E-2</v>
      </c>
      <c r="F26" s="73">
        <f t="shared" si="10"/>
        <v>6.4679455048811257E-2</v>
      </c>
      <c r="G26" s="73">
        <f t="shared" si="10"/>
        <v>5.1585861755828508E-2</v>
      </c>
      <c r="H26" s="73">
        <f t="shared" si="10"/>
        <v>6.6411356768858135E-2</v>
      </c>
      <c r="I26" s="73">
        <f t="shared" si="10"/>
        <v>6.572075717060076E-2</v>
      </c>
      <c r="J26" s="73">
        <f t="shared" si="10"/>
        <v>5.2824745932973358E-2</v>
      </c>
      <c r="K26" s="73">
        <f t="shared" si="10"/>
        <v>6.6962898757941036E-2</v>
      </c>
      <c r="L26" s="73">
        <f t="shared" si="10"/>
        <v>6.6557889102647608E-2</v>
      </c>
      <c r="M26" s="73">
        <f t="shared" si="10"/>
        <v>5.4224154247567415E-2</v>
      </c>
      <c r="N26" s="73">
        <f t="shared" si="10"/>
        <v>6.754553507767419E-2</v>
      </c>
      <c r="T26" s="84" t="s">
        <v>85</v>
      </c>
      <c r="U26" s="85">
        <f>U25/U23</f>
        <v>0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  <ignoredErrors>
    <ignoredError sqref="B8 B20 F14:M1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R29" sqref="R29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46.497906554136677</v>
      </c>
      <c r="C3" s="67">
        <v>0</v>
      </c>
      <c r="D3" s="68">
        <f>'20'!M3</f>
        <v>11.150309717785348</v>
      </c>
      <c r="E3" s="67">
        <v>0</v>
      </c>
      <c r="F3" s="67">
        <v>0</v>
      </c>
      <c r="G3" s="69">
        <f>D3*1.0567</f>
        <v>11.782532278783776</v>
      </c>
      <c r="H3" s="67">
        <v>0</v>
      </c>
      <c r="I3" s="67">
        <v>0</v>
      </c>
      <c r="J3" s="68">
        <f>G3</f>
        <v>11.782532278783776</v>
      </c>
      <c r="K3" s="67">
        <v>0</v>
      </c>
      <c r="L3" s="67">
        <v>0</v>
      </c>
      <c r="M3" s="68">
        <f>J3</f>
        <v>11.782532278783776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290.87</v>
      </c>
      <c r="C4" s="68">
        <f>'20'!N4+0.31</f>
        <v>22.430000000000003</v>
      </c>
      <c r="D4" s="68">
        <f>C4+0.31</f>
        <v>22.740000000000002</v>
      </c>
      <c r="E4" s="68">
        <f>D4+0.32</f>
        <v>23.060000000000002</v>
      </c>
      <c r="F4" s="68">
        <f>E4+0.32</f>
        <v>23.380000000000003</v>
      </c>
      <c r="G4" s="68">
        <f>F4+0.33</f>
        <v>23.71</v>
      </c>
      <c r="H4" s="68">
        <f>G4+0.33</f>
        <v>24.04</v>
      </c>
      <c r="I4" s="68">
        <f>H4+0.34</f>
        <v>24.38</v>
      </c>
      <c r="J4" s="68">
        <f>I4+0.34</f>
        <v>24.72</v>
      </c>
      <c r="K4" s="68">
        <f t="shared" ref="K4:L4" si="4">J4+0.35</f>
        <v>25.07</v>
      </c>
      <c r="L4" s="68">
        <f t="shared" si="4"/>
        <v>25.42</v>
      </c>
      <c r="M4" s="68">
        <f>L4+0.36</f>
        <v>25.78</v>
      </c>
      <c r="N4" s="68">
        <f>M4+0.36</f>
        <v>26.14</v>
      </c>
      <c r="O4" s="65">
        <v>73.738</v>
      </c>
      <c r="P4" s="71">
        <v>2.64</v>
      </c>
      <c r="Q4" s="71">
        <f t="shared" si="1"/>
        <v>194.66831999999999</v>
      </c>
      <c r="R4" s="72">
        <f t="shared" ref="R4:R11" si="5">S4/O4</f>
        <v>30.31028777563807</v>
      </c>
      <c r="S4" s="72">
        <v>2235.02</v>
      </c>
      <c r="T4" s="73">
        <f t="shared" ref="T4:T21" si="6">P4/R4</f>
        <v>8.7099140052438018E-2</v>
      </c>
      <c r="U4" s="70">
        <v>1545.65</v>
      </c>
      <c r="V4" s="73">
        <f t="shared" ref="V4:V21" si="7">Q4/U4</f>
        <v>0.12594592566234269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176.67071999999999</v>
      </c>
      <c r="C5" s="67">
        <v>0</v>
      </c>
      <c r="D5" s="67">
        <v>0</v>
      </c>
      <c r="E5" s="69">
        <f>'20'!N5*1.2</f>
        <v>44.167679999999997</v>
      </c>
      <c r="F5" s="67">
        <v>0</v>
      </c>
      <c r="G5" s="67">
        <v>0</v>
      </c>
      <c r="H5" s="68">
        <f>E5</f>
        <v>44.167679999999997</v>
      </c>
      <c r="I5" s="67">
        <v>0</v>
      </c>
      <c r="J5" s="67">
        <v>0</v>
      </c>
      <c r="K5" s="68">
        <f>H5</f>
        <v>44.167679999999997</v>
      </c>
      <c r="L5" s="67">
        <v>0</v>
      </c>
      <c r="M5" s="67">
        <v>0</v>
      </c>
      <c r="N5" s="68">
        <f>K5</f>
        <v>44.167679999999997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52.726165076097928</v>
      </c>
      <c r="C6" s="68">
        <f>'20'!L6</f>
        <v>12.92181283111899</v>
      </c>
      <c r="D6" s="67">
        <v>0</v>
      </c>
      <c r="E6" s="67">
        <v>0</v>
      </c>
      <c r="F6" s="69">
        <f>C6*1.02</f>
        <v>13.18024908774137</v>
      </c>
      <c r="G6" s="67">
        <v>0</v>
      </c>
      <c r="H6" s="67">
        <v>0</v>
      </c>
      <c r="I6" s="68">
        <f>F6</f>
        <v>13.18024908774137</v>
      </c>
      <c r="J6" s="67">
        <v>0</v>
      </c>
      <c r="K6" s="67">
        <v>0</v>
      </c>
      <c r="L6" s="69">
        <f>I6*1.02</f>
        <v>13.443854069496197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1124.4000000000001</v>
      </c>
      <c r="V6" s="73">
        <f t="shared" si="7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'20'!N7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2048.75</v>
      </c>
      <c r="V7" s="73">
        <f t="shared" si="7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ref="B8" si="8">SUM(C8:N8)</f>
        <v>88.199892588500035</v>
      </c>
      <c r="C8" s="68">
        <f>'20'!L8</f>
        <v>20.655712550000004</v>
      </c>
      <c r="D8" s="67">
        <v>0</v>
      </c>
      <c r="E8" s="67">
        <v>0</v>
      </c>
      <c r="F8" s="69">
        <f>C8*1.09</f>
        <v>22.514726679500008</v>
      </c>
      <c r="G8" s="67"/>
      <c r="H8" s="67"/>
      <c r="I8" s="68">
        <f>F8</f>
        <v>22.514726679500008</v>
      </c>
      <c r="J8" s="67"/>
      <c r="K8" s="67"/>
      <c r="L8" s="68">
        <f>I8</f>
        <v>22.514726679500008</v>
      </c>
      <c r="M8" s="67"/>
      <c r="N8" s="67"/>
      <c r="O8" s="65">
        <v>55</v>
      </c>
      <c r="P8" s="71">
        <v>1.1599999999999999</v>
      </c>
      <c r="Q8" s="70">
        <f t="shared" si="1"/>
        <v>63.8</v>
      </c>
      <c r="R8" s="72">
        <f t="shared" si="5"/>
        <v>23.256363636363634</v>
      </c>
      <c r="S8" s="72">
        <v>1279.0999999999999</v>
      </c>
      <c r="T8" s="73">
        <f t="shared" si="6"/>
        <v>4.9878821046048002E-2</v>
      </c>
      <c r="U8" s="70">
        <v>1673.1</v>
      </c>
      <c r="V8" s="73">
        <f t="shared" si="7"/>
        <v>3.8132807363576597E-2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'20'!N9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0.65</v>
      </c>
      <c r="Q9" s="71">
        <f t="shared" si="1"/>
        <v>133.11870000000002</v>
      </c>
      <c r="R9" s="72">
        <f t="shared" si="5"/>
        <v>12.055439994531195</v>
      </c>
      <c r="S9" s="72">
        <v>2468.9299999999998</v>
      </c>
      <c r="T9" s="73">
        <f t="shared" si="6"/>
        <v>5.3917567529253571E-2</v>
      </c>
      <c r="U9" s="70">
        <v>2508.7800000000002</v>
      </c>
      <c r="V9" s="73">
        <f t="shared" si="7"/>
        <v>5.3061129313849764E-2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115.74397800000001</v>
      </c>
      <c r="C10" s="69">
        <f>'20'!L10*1.05</f>
        <v>28.935994500000003</v>
      </c>
      <c r="D10" s="67">
        <v>0</v>
      </c>
      <c r="E10" s="67">
        <v>0</v>
      </c>
      <c r="F10" s="68">
        <f>C10</f>
        <v>28.935994500000003</v>
      </c>
      <c r="G10" s="67">
        <v>0</v>
      </c>
      <c r="H10" s="67">
        <v>0</v>
      </c>
      <c r="I10" s="68">
        <f>F10</f>
        <v>28.935994500000003</v>
      </c>
      <c r="J10" s="67">
        <v>0</v>
      </c>
      <c r="K10" s="67">
        <v>0</v>
      </c>
      <c r="L10" s="68">
        <f>I10</f>
        <v>28.935994500000003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3170</v>
      </c>
      <c r="V10" s="73">
        <f t="shared" si="7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42.721504842184764</v>
      </c>
      <c r="C11" s="67">
        <v>0</v>
      </c>
      <c r="D11" s="69">
        <f>'20'!M11*1.0366</f>
        <v>10.680376210546191</v>
      </c>
      <c r="E11" s="67">
        <v>0</v>
      </c>
      <c r="F11" s="67">
        <v>0</v>
      </c>
      <c r="G11" s="68">
        <f>D11</f>
        <v>10.680376210546191</v>
      </c>
      <c r="H11" s="67">
        <v>0</v>
      </c>
      <c r="I11" s="67">
        <v>0</v>
      </c>
      <c r="J11" s="68">
        <f>G11</f>
        <v>10.680376210546191</v>
      </c>
      <c r="K11" s="67">
        <v>0</v>
      </c>
      <c r="L11" s="67">
        <v>0</v>
      </c>
      <c r="M11" s="68">
        <f>J11</f>
        <v>10.680376210546191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725.25</v>
      </c>
      <c r="V11" s="73">
        <f t="shared" si="7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64.983630978000022</v>
      </c>
      <c r="C12" s="67">
        <v>0</v>
      </c>
      <c r="D12" s="67">
        <v>0</v>
      </c>
      <c r="E12" s="68">
        <f>'20'!N12</f>
        <v>15.435541800000005</v>
      </c>
      <c r="F12" s="67">
        <v>0</v>
      </c>
      <c r="G12" s="67">
        <v>0</v>
      </c>
      <c r="H12" s="69">
        <f>E12*1.07</f>
        <v>16.516029726000006</v>
      </c>
      <c r="I12" s="67">
        <v>0</v>
      </c>
      <c r="J12" s="67">
        <v>0</v>
      </c>
      <c r="K12" s="68">
        <f>H12</f>
        <v>16.516029726000006</v>
      </c>
      <c r="L12" s="67">
        <v>0</v>
      </c>
      <c r="M12" s="67">
        <v>0</v>
      </c>
      <c r="N12" s="68">
        <f>K12</f>
        <v>16.516029726000006</v>
      </c>
      <c r="O12" s="65">
        <v>15</v>
      </c>
      <c r="P12" s="71">
        <v>3.36</v>
      </c>
      <c r="Q12" s="71">
        <f t="shared" si="1"/>
        <v>50.4</v>
      </c>
      <c r="R12" s="72">
        <v>101.07</v>
      </c>
      <c r="S12" s="72">
        <v>1516.02</v>
      </c>
      <c r="T12" s="73">
        <f t="shared" si="6"/>
        <v>3.3244286138319978E-2</v>
      </c>
      <c r="U12" s="70">
        <v>1726.5</v>
      </c>
      <c r="V12" s="73">
        <f t="shared" si="7"/>
        <v>2.9192006950477845E-2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'20'!M13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1216.5</v>
      </c>
      <c r="V13" s="73">
        <f t="shared" si="7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252.48907055444135</v>
      </c>
      <c r="C14" s="68">
        <f>'20'!N14*1.04</f>
        <v>20.958874494921705</v>
      </c>
      <c r="D14" s="68">
        <f>C14</f>
        <v>20.958874494921705</v>
      </c>
      <c r="E14" s="68">
        <f>D14</f>
        <v>20.958874494921705</v>
      </c>
      <c r="F14" s="68">
        <f>E14*1.0026</f>
        <v>21.013367568608501</v>
      </c>
      <c r="G14" s="68">
        <f>F14</f>
        <v>21.013367568608501</v>
      </c>
      <c r="H14" s="68">
        <f>G14</f>
        <v>21.013367568608501</v>
      </c>
      <c r="I14" s="68">
        <f>H14*1.0026</f>
        <v>21.068002324286883</v>
      </c>
      <c r="J14" s="68">
        <f>I14</f>
        <v>21.068002324286883</v>
      </c>
      <c r="K14" s="68">
        <f>J14</f>
        <v>21.068002324286883</v>
      </c>
      <c r="L14" s="68">
        <f>K14*1.0026</f>
        <v>21.122779130330027</v>
      </c>
      <c r="M14" s="68">
        <f>L14</f>
        <v>21.122779130330027</v>
      </c>
      <c r="N14" s="68">
        <f>M14</f>
        <v>21.122779130330027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6"/>
        <v>6.4042266958263191E-2</v>
      </c>
      <c r="U14" s="70">
        <v>4629.72</v>
      </c>
      <c r="V14" s="73">
        <f t="shared" si="7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67.112755712000023</v>
      </c>
      <c r="C15" s="67">
        <v>0</v>
      </c>
      <c r="D15" s="67">
        <v>0</v>
      </c>
      <c r="E15" s="88">
        <f>'20'!N15*1.07</f>
        <v>16.778188928000006</v>
      </c>
      <c r="F15" s="67">
        <v>0</v>
      </c>
      <c r="G15" s="67">
        <v>0</v>
      </c>
      <c r="H15" s="68">
        <f>E15</f>
        <v>16.778188928000006</v>
      </c>
      <c r="I15" s="67">
        <v>0</v>
      </c>
      <c r="J15" s="67">
        <v>0</v>
      </c>
      <c r="K15" s="68">
        <f>H15</f>
        <v>16.778188928000006</v>
      </c>
      <c r="L15" s="67">
        <v>0</v>
      </c>
      <c r="M15" s="67">
        <v>0</v>
      </c>
      <c r="N15" s="68">
        <f>K15</f>
        <v>16.778188928000006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1294</v>
      </c>
      <c r="V15" s="73">
        <f t="shared" si="7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69.404467667039995</v>
      </c>
      <c r="C16" s="68">
        <f>'20'!L16</f>
        <v>17.264792952000001</v>
      </c>
      <c r="D16" s="70">
        <v>0</v>
      </c>
      <c r="E16" s="70">
        <v>0</v>
      </c>
      <c r="F16" s="68">
        <f>C16</f>
        <v>17.264792952000001</v>
      </c>
      <c r="G16" s="70">
        <v>0</v>
      </c>
      <c r="H16" s="70">
        <v>0</v>
      </c>
      <c r="I16" s="68">
        <f>F16</f>
        <v>17.264792952000001</v>
      </c>
      <c r="J16" s="70">
        <v>0</v>
      </c>
      <c r="K16" s="70">
        <v>0</v>
      </c>
      <c r="L16" s="69">
        <f>I16*1.02</f>
        <v>17.610088811040001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1394.38</v>
      </c>
      <c r="V16" s="73">
        <f t="shared" si="7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159.81028410239998</v>
      </c>
      <c r="C17" s="70">
        <v>0</v>
      </c>
      <c r="D17" s="69">
        <f>'20'!M17*1.02</f>
        <v>39.952571025599994</v>
      </c>
      <c r="E17" s="70">
        <v>0</v>
      </c>
      <c r="F17" s="67">
        <v>0</v>
      </c>
      <c r="G17" s="68">
        <f>D17</f>
        <v>39.952571025599994</v>
      </c>
      <c r="H17" s="67">
        <v>0</v>
      </c>
      <c r="I17" s="67">
        <v>0</v>
      </c>
      <c r="J17" s="68">
        <f>G17</f>
        <v>39.952571025599994</v>
      </c>
      <c r="K17" s="67">
        <v>0</v>
      </c>
      <c r="L17" s="67">
        <v>0</v>
      </c>
      <c r="M17" s="68">
        <f>J17</f>
        <v>39.952571025599994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3007.88</v>
      </c>
      <c r="V17" s="73">
        <f t="shared" si="7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63.99119475000002</v>
      </c>
      <c r="C18" s="68">
        <f>'20'!L18</f>
        <v>15.419565000000002</v>
      </c>
      <c r="D18" s="67">
        <v>0</v>
      </c>
      <c r="E18" s="70">
        <v>0</v>
      </c>
      <c r="F18" s="69">
        <f>C18*1.05</f>
        <v>16.190543250000005</v>
      </c>
      <c r="G18" s="67">
        <v>0</v>
      </c>
      <c r="H18" s="67">
        <v>0</v>
      </c>
      <c r="I18" s="68">
        <f>F18</f>
        <v>16.190543250000005</v>
      </c>
      <c r="J18" s="67">
        <v>0</v>
      </c>
      <c r="K18" s="67">
        <v>0</v>
      </c>
      <c r="L18" s="68">
        <f>I18</f>
        <v>16.190543250000005</v>
      </c>
      <c r="M18" s="67">
        <v>0</v>
      </c>
      <c r="N18" s="67">
        <v>0</v>
      </c>
      <c r="O18" s="65">
        <v>30</v>
      </c>
      <c r="P18" s="70">
        <v>1.8</v>
      </c>
      <c r="Q18" s="70">
        <f t="shared" si="1"/>
        <v>54</v>
      </c>
      <c r="R18" s="72">
        <v>42.25</v>
      </c>
      <c r="S18" s="70">
        <v>1267.49</v>
      </c>
      <c r="T18" s="73">
        <f t="shared" si="6"/>
        <v>4.2603550295857988E-2</v>
      </c>
      <c r="U18" s="70">
        <v>1485</v>
      </c>
      <c r="V18" s="73">
        <f t="shared" si="7"/>
        <v>3.6363636363636362E-2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183.68730450000004</v>
      </c>
      <c r="C19" s="70">
        <v>0</v>
      </c>
      <c r="D19" s="70">
        <v>0</v>
      </c>
      <c r="E19" s="69">
        <f>'20'!N19*1.05</f>
        <v>45.92182612500001</v>
      </c>
      <c r="F19" s="70">
        <v>0</v>
      </c>
      <c r="G19" s="70">
        <v>0</v>
      </c>
      <c r="H19" s="68">
        <f>E19</f>
        <v>45.92182612500001</v>
      </c>
      <c r="I19" s="70">
        <v>0</v>
      </c>
      <c r="J19" s="70">
        <v>0</v>
      </c>
      <c r="K19" s="68">
        <f>H19</f>
        <v>45.92182612500001</v>
      </c>
      <c r="L19" s="70">
        <v>0</v>
      </c>
      <c r="M19" s="70">
        <v>0</v>
      </c>
      <c r="N19" s="68">
        <f>K19</f>
        <v>45.92182612500001</v>
      </c>
      <c r="O19" s="65">
        <v>100</v>
      </c>
      <c r="P19" s="70">
        <v>1.53</v>
      </c>
      <c r="Q19" s="70">
        <f t="shared" si="1"/>
        <v>153</v>
      </c>
      <c r="R19" s="72">
        <v>39.590000000000003</v>
      </c>
      <c r="S19" s="70">
        <v>3962.41</v>
      </c>
      <c r="T19" s="73">
        <f t="shared" si="6"/>
        <v>3.864612275827229E-2</v>
      </c>
      <c r="U19" s="70">
        <v>4027</v>
      </c>
      <c r="V19" s="73">
        <f t="shared" si="7"/>
        <v>3.7993543580829403E-2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ref="B20" si="9">SUM(C20:N20)</f>
        <v>73.022985000000006</v>
      </c>
      <c r="C20" s="70">
        <v>0</v>
      </c>
      <c r="D20" s="70">
        <v>0</v>
      </c>
      <c r="E20" s="68">
        <f>'20'!N20</f>
        <v>17.5959</v>
      </c>
      <c r="F20" s="70">
        <v>0</v>
      </c>
      <c r="G20" s="70">
        <v>0</v>
      </c>
      <c r="H20" s="69">
        <f>E20*1.05</f>
        <v>18.475695000000002</v>
      </c>
      <c r="I20" s="70">
        <v>0</v>
      </c>
      <c r="J20" s="70">
        <v>0</v>
      </c>
      <c r="K20" s="68">
        <f>H20</f>
        <v>18.475695000000002</v>
      </c>
      <c r="L20" s="70">
        <v>0</v>
      </c>
      <c r="M20" s="70">
        <v>0</v>
      </c>
      <c r="N20" s="68">
        <f>K20</f>
        <v>18.475695000000002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55.487860312500011</v>
      </c>
      <c r="C21" s="70">
        <v>0</v>
      </c>
      <c r="D21" s="70">
        <v>0</v>
      </c>
      <c r="E21" s="68">
        <f>'20'!N21</f>
        <v>13.370568750000002</v>
      </c>
      <c r="F21" s="70">
        <v>0</v>
      </c>
      <c r="G21" s="70">
        <v>0</v>
      </c>
      <c r="H21" s="69">
        <f>E21*1.05</f>
        <v>14.039097187500003</v>
      </c>
      <c r="I21" s="70">
        <v>0</v>
      </c>
      <c r="J21" s="70">
        <v>0</v>
      </c>
      <c r="K21" s="68">
        <f>H21</f>
        <v>14.039097187500003</v>
      </c>
      <c r="L21" s="70">
        <v>0</v>
      </c>
      <c r="M21" s="70">
        <v>0</v>
      </c>
      <c r="N21" s="68">
        <f>K21</f>
        <v>14.039097187500003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1354.5</v>
      </c>
      <c r="V21" s="73">
        <f t="shared" si="7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10">SUM(B3:B21)</f>
        <v>2086.5397206373009</v>
      </c>
      <c r="C23" s="79">
        <f t="shared" si="10"/>
        <v>138.58675232804072</v>
      </c>
      <c r="D23" s="79">
        <f t="shared" si="10"/>
        <v>112.82213144885324</v>
      </c>
      <c r="E23" s="79">
        <f t="shared" si="10"/>
        <v>260.72858009792168</v>
      </c>
      <c r="F23" s="79">
        <f t="shared" si="10"/>
        <v>142.47967403784986</v>
      </c>
      <c r="G23" s="79">
        <f t="shared" si="10"/>
        <v>114.47884708353847</v>
      </c>
      <c r="H23" s="79">
        <f t="shared" si="10"/>
        <v>264.39188453510849</v>
      </c>
      <c r="I23" s="79">
        <f t="shared" si="10"/>
        <v>143.53430879352828</v>
      </c>
      <c r="J23" s="79">
        <f t="shared" si="10"/>
        <v>115.54348183921684</v>
      </c>
      <c r="K23" s="79">
        <f t="shared" si="10"/>
        <v>265.47651929078688</v>
      </c>
      <c r="L23" s="79">
        <f t="shared" si="10"/>
        <v>145.23798644036623</v>
      </c>
      <c r="M23" s="79">
        <f t="shared" si="10"/>
        <v>116.65825864525999</v>
      </c>
      <c r="N23" s="79">
        <f t="shared" si="10"/>
        <v>266.60129609683003</v>
      </c>
      <c r="O23" s="80"/>
      <c r="P23" s="64"/>
      <c r="Q23" s="81">
        <f>SUM(Q3:Q21)</f>
        <v>1686.8817387999998</v>
      </c>
      <c r="R23" s="78"/>
      <c r="S23" s="81">
        <f>SUM(S3:S21)</f>
        <v>37541.48000000001</v>
      </c>
      <c r="T23" s="82">
        <f>Q23/S23</f>
        <v>4.4933810249356158E-2</v>
      </c>
      <c r="U23" s="81">
        <f>SUM(U3:U22)</f>
        <v>39461.630000000005</v>
      </c>
      <c r="V23" s="82">
        <f>B23/U23</f>
        <v>5.2875152917841978E-2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2020</v>
      </c>
      <c r="B25" s="70">
        <f>SUM(C25:N25)</f>
        <v>1952.6446486495001</v>
      </c>
      <c r="C25" s="68">
        <f>'20'!C23</f>
        <v>129.82628193680424</v>
      </c>
      <c r="D25" s="68">
        <f>'20'!D23</f>
        <v>106.88086053507021</v>
      </c>
      <c r="E25" s="68">
        <f>'20'!E23</f>
        <v>243.33602414653225</v>
      </c>
      <c r="F25" s="68">
        <f>'20'!F23</f>
        <v>133.27645595285063</v>
      </c>
      <c r="G25" s="68">
        <f>'20'!G23</f>
        <v>108.26115014659652</v>
      </c>
      <c r="H25" s="68">
        <f>'20'!H23</f>
        <v>246.61241030077321</v>
      </c>
      <c r="I25" s="68">
        <f>'20'!I23</f>
        <v>134.08858173266265</v>
      </c>
      <c r="J25" s="68">
        <f>'20'!J23</f>
        <v>109.08327592640853</v>
      </c>
      <c r="K25" s="68">
        <f>'20'!K23</f>
        <v>247.4545360805852</v>
      </c>
      <c r="L25" s="68">
        <f>'20'!L23</f>
        <v>135.53273727054372</v>
      </c>
      <c r="M25" s="68">
        <f>'20'!M23</f>
        <v>109.95553723324807</v>
      </c>
      <c r="N25" s="68">
        <f>'20'!N23</f>
        <v>248.33679738742472</v>
      </c>
      <c r="T25" s="84" t="s">
        <v>84</v>
      </c>
      <c r="U25" s="70"/>
    </row>
    <row r="26" spans="1:25" x14ac:dyDescent="0.2">
      <c r="A26" s="83" t="s">
        <v>40</v>
      </c>
      <c r="B26" s="73">
        <f t="shared" ref="B26:N26" si="11">(B23-B25)/B25</f>
        <v>6.8571141236786773E-2</v>
      </c>
      <c r="C26" s="73">
        <f t="shared" si="11"/>
        <v>6.7478404684660306E-2</v>
      </c>
      <c r="D26" s="73">
        <f t="shared" si="11"/>
        <v>5.5587790779749131E-2</v>
      </c>
      <c r="E26" s="73">
        <f t="shared" si="11"/>
        <v>7.1475466949011898E-2</v>
      </c>
      <c r="F26" s="73">
        <f t="shared" si="11"/>
        <v>6.9053592543420195E-2</v>
      </c>
      <c r="G26" s="73">
        <f t="shared" si="11"/>
        <v>5.743239313939081E-2</v>
      </c>
      <c r="H26" s="73">
        <f t="shared" si="11"/>
        <v>7.2094807445623257E-2</v>
      </c>
      <c r="I26" s="73">
        <f t="shared" si="11"/>
        <v>7.044393294947314E-2</v>
      </c>
      <c r="J26" s="73">
        <f t="shared" si="11"/>
        <v>5.9222698052876506E-2</v>
      </c>
      <c r="K26" s="73">
        <f t="shared" si="11"/>
        <v>7.2829472013932708E-2</v>
      </c>
      <c r="L26" s="73">
        <f t="shared" si="11"/>
        <v>7.1608154349080785E-2</v>
      </c>
      <c r="M26" s="73">
        <f t="shared" si="11"/>
        <v>6.0958470857120001E-2</v>
      </c>
      <c r="N26" s="73">
        <f t="shared" si="11"/>
        <v>7.354729102393659E-2</v>
      </c>
      <c r="T26" s="84" t="s">
        <v>85</v>
      </c>
      <c r="U26" s="85">
        <f>U25/U23</f>
        <v>0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  <ignoredErrors>
    <ignoredError sqref="B8:B18 F14:N14 B19:B20 V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F7" sqref="F7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49.134337855756222</v>
      </c>
      <c r="C3" s="67">
        <v>0</v>
      </c>
      <c r="D3" s="68">
        <f>'21'!M3</f>
        <v>11.782532278783776</v>
      </c>
      <c r="E3" s="67">
        <v>0</v>
      </c>
      <c r="F3" s="67">
        <v>0</v>
      </c>
      <c r="G3" s="69">
        <f>D3*1.0567</f>
        <v>12.450601858990817</v>
      </c>
      <c r="H3" s="67">
        <v>0</v>
      </c>
      <c r="I3" s="67">
        <v>0</v>
      </c>
      <c r="J3" s="68">
        <f>G3</f>
        <v>12.450601858990817</v>
      </c>
      <c r="K3" s="67">
        <v>0</v>
      </c>
      <c r="L3" s="67">
        <v>0</v>
      </c>
      <c r="M3" s="68">
        <f>J3</f>
        <v>12.450601858990817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342.17999999999995</v>
      </c>
      <c r="C4" s="68">
        <f>'21'!N4+0.36</f>
        <v>26.5</v>
      </c>
      <c r="D4" s="68">
        <f>C4+0.36</f>
        <v>26.86</v>
      </c>
      <c r="E4" s="68">
        <f>D4+0.36</f>
        <v>27.22</v>
      </c>
      <c r="F4" s="68">
        <f>E4+0.36</f>
        <v>27.58</v>
      </c>
      <c r="G4" s="68">
        <f t="shared" ref="G4:H4" si="4">F4+0.36</f>
        <v>27.939999999999998</v>
      </c>
      <c r="H4" s="68">
        <f t="shared" si="4"/>
        <v>28.299999999999997</v>
      </c>
      <c r="I4" s="68">
        <f>H4+0.38</f>
        <v>28.679999999999996</v>
      </c>
      <c r="J4" s="68">
        <f t="shared" ref="J4:N4" si="5">I4+0.38</f>
        <v>29.059999999999995</v>
      </c>
      <c r="K4" s="68">
        <f t="shared" si="5"/>
        <v>29.439999999999994</v>
      </c>
      <c r="L4" s="68">
        <f t="shared" si="5"/>
        <v>29.819999999999993</v>
      </c>
      <c r="M4" s="68">
        <f t="shared" si="5"/>
        <v>30.199999999999992</v>
      </c>
      <c r="N4" s="68">
        <f t="shared" si="5"/>
        <v>30.579999999999991</v>
      </c>
      <c r="O4" s="65">
        <v>73.738</v>
      </c>
      <c r="P4" s="71">
        <v>2.64</v>
      </c>
      <c r="Q4" s="71">
        <f t="shared" si="1"/>
        <v>194.66831999999999</v>
      </c>
      <c r="R4" s="72">
        <f t="shared" ref="R4:R11" si="6">S4/O4</f>
        <v>30.31028777563807</v>
      </c>
      <c r="S4" s="72">
        <v>2235.02</v>
      </c>
      <c r="T4" s="73">
        <f t="shared" ref="T4:T21" si="7">P4/R4</f>
        <v>8.7099140052438018E-2</v>
      </c>
      <c r="U4" s="70">
        <v>1545.65</v>
      </c>
      <c r="V4" s="73">
        <f t="shared" ref="V4:V21" si="8">Q4/U4</f>
        <v>0.12594592566234269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212.00486399999997</v>
      </c>
      <c r="C5" s="67">
        <v>0</v>
      </c>
      <c r="D5" s="67">
        <v>0</v>
      </c>
      <c r="E5" s="69">
        <f>'21'!N5*1.2</f>
        <v>53.001215999999992</v>
      </c>
      <c r="F5" s="67">
        <v>0</v>
      </c>
      <c r="G5" s="67">
        <v>0</v>
      </c>
      <c r="H5" s="68">
        <f>E5</f>
        <v>53.001215999999992</v>
      </c>
      <c r="I5" s="67">
        <v>0</v>
      </c>
      <c r="J5" s="67">
        <v>0</v>
      </c>
      <c r="K5" s="68">
        <f>H5</f>
        <v>53.001215999999992</v>
      </c>
      <c r="L5" s="67">
        <v>0</v>
      </c>
      <c r="M5" s="67">
        <v>0</v>
      </c>
      <c r="N5" s="68">
        <f>K5</f>
        <v>53.001215999999992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54.856302145172279</v>
      </c>
      <c r="C6" s="68">
        <f>'21'!L6</f>
        <v>13.443854069496197</v>
      </c>
      <c r="D6" s="67">
        <v>0</v>
      </c>
      <c r="E6" s="67">
        <v>0</v>
      </c>
      <c r="F6" s="69">
        <f>C6*1.02</f>
        <v>13.712731150886121</v>
      </c>
      <c r="G6" s="67">
        <v>0</v>
      </c>
      <c r="H6" s="67">
        <v>0</v>
      </c>
      <c r="I6" s="68">
        <f>F6</f>
        <v>13.712731150886121</v>
      </c>
      <c r="J6" s="67">
        <v>0</v>
      </c>
      <c r="K6" s="67">
        <v>0</v>
      </c>
      <c r="L6" s="69">
        <f>I6*1.02</f>
        <v>13.986985773903843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6"/>
        <v>51.681500000000007</v>
      </c>
      <c r="S6" s="72">
        <v>1033.6300000000001</v>
      </c>
      <c r="T6" s="73">
        <f t="shared" si="7"/>
        <v>4.1794452560393949E-2</v>
      </c>
      <c r="U6" s="70">
        <v>1124.4000000000001</v>
      </c>
      <c r="V6" s="73">
        <f t="shared" si="8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'21'!N7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6"/>
        <v>43.217272727272722</v>
      </c>
      <c r="S7" s="70">
        <v>2376.9499999999998</v>
      </c>
      <c r="T7" s="73">
        <f t="shared" si="7"/>
        <v>5.5533351563979053E-2</v>
      </c>
      <c r="U7" s="70">
        <v>2048.75</v>
      </c>
      <c r="V7" s="73">
        <f t="shared" si="8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96.137882921465035</v>
      </c>
      <c r="C8" s="68">
        <f>'21'!L8</f>
        <v>22.514726679500008</v>
      </c>
      <c r="D8" s="67">
        <v>0</v>
      </c>
      <c r="E8" s="67">
        <v>0</v>
      </c>
      <c r="F8" s="69">
        <f>C8*1.09</f>
        <v>24.54105208065501</v>
      </c>
      <c r="G8" s="67"/>
      <c r="H8" s="67"/>
      <c r="I8" s="68">
        <f>F8</f>
        <v>24.54105208065501</v>
      </c>
      <c r="J8" s="67"/>
      <c r="K8" s="67"/>
      <c r="L8" s="68">
        <f>I8</f>
        <v>24.54105208065501</v>
      </c>
      <c r="M8" s="67"/>
      <c r="N8" s="67"/>
      <c r="O8" s="65">
        <v>55</v>
      </c>
      <c r="P8" s="71">
        <v>1.1599999999999999</v>
      </c>
      <c r="Q8" s="70">
        <f t="shared" si="1"/>
        <v>63.8</v>
      </c>
      <c r="R8" s="72">
        <f t="shared" si="6"/>
        <v>23.256363636363634</v>
      </c>
      <c r="S8" s="72">
        <v>1279.0999999999999</v>
      </c>
      <c r="T8" s="73">
        <f t="shared" si="7"/>
        <v>4.9878821046048002E-2</v>
      </c>
      <c r="U8" s="70">
        <v>1673.1</v>
      </c>
      <c r="V8" s="73">
        <f t="shared" si="8"/>
        <v>3.8132807363576597E-2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'21'!N9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0.65</v>
      </c>
      <c r="Q9" s="71">
        <f t="shared" si="1"/>
        <v>133.11870000000002</v>
      </c>
      <c r="R9" s="72">
        <f t="shared" si="6"/>
        <v>12.055439994531195</v>
      </c>
      <c r="S9" s="72">
        <v>2468.9299999999998</v>
      </c>
      <c r="T9" s="73">
        <f t="shared" si="7"/>
        <v>5.3917567529253571E-2</v>
      </c>
      <c r="U9" s="70">
        <v>2508.7800000000002</v>
      </c>
      <c r="V9" s="73">
        <f t="shared" si="8"/>
        <v>5.3061129313849764E-2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121.53117690000002</v>
      </c>
      <c r="C10" s="69">
        <f>'21'!L10*1.05</f>
        <v>30.382794225000005</v>
      </c>
      <c r="D10" s="67">
        <v>0</v>
      </c>
      <c r="E10" s="67">
        <v>0</v>
      </c>
      <c r="F10" s="68">
        <f>C10</f>
        <v>30.382794225000005</v>
      </c>
      <c r="G10" s="67">
        <v>0</v>
      </c>
      <c r="H10" s="67">
        <v>0</v>
      </c>
      <c r="I10" s="68">
        <f>F10</f>
        <v>30.382794225000005</v>
      </c>
      <c r="J10" s="67">
        <v>0</v>
      </c>
      <c r="K10" s="67">
        <v>0</v>
      </c>
      <c r="L10" s="68">
        <f>I10</f>
        <v>30.382794225000005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6"/>
        <v>25.006500000000003</v>
      </c>
      <c r="S10" s="72">
        <v>2500.65</v>
      </c>
      <c r="T10" s="73">
        <f t="shared" si="7"/>
        <v>3.8390018595165248E-2</v>
      </c>
      <c r="U10" s="70">
        <v>3170</v>
      </c>
      <c r="V10" s="73">
        <f t="shared" si="8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44.285111919408727</v>
      </c>
      <c r="C11" s="67">
        <v>0</v>
      </c>
      <c r="D11" s="69">
        <f>'21'!M11*1.0366</f>
        <v>11.071277979852182</v>
      </c>
      <c r="E11" s="67">
        <v>0</v>
      </c>
      <c r="F11" s="67">
        <v>0</v>
      </c>
      <c r="G11" s="68">
        <f>D11</f>
        <v>11.071277979852182</v>
      </c>
      <c r="H11" s="67">
        <v>0</v>
      </c>
      <c r="I11" s="67">
        <v>0</v>
      </c>
      <c r="J11" s="68">
        <f>G11</f>
        <v>11.071277979852182</v>
      </c>
      <c r="K11" s="67">
        <v>0</v>
      </c>
      <c r="L11" s="67">
        <v>0</v>
      </c>
      <c r="M11" s="68">
        <f>J11</f>
        <v>11.071277979852182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6"/>
        <v>44.078000000000003</v>
      </c>
      <c r="S11" s="72">
        <v>1101.95</v>
      </c>
      <c r="T11" s="73">
        <f t="shared" si="7"/>
        <v>3.3576841054494301E-2</v>
      </c>
      <c r="U11" s="70">
        <v>725.25</v>
      </c>
      <c r="V11" s="73">
        <f t="shared" si="8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69.532485146460033</v>
      </c>
      <c r="C12" s="67">
        <v>0</v>
      </c>
      <c r="D12" s="67">
        <v>0</v>
      </c>
      <c r="E12" s="68">
        <f>'21'!N12</f>
        <v>16.516029726000006</v>
      </c>
      <c r="F12" s="67">
        <v>0</v>
      </c>
      <c r="G12" s="67">
        <v>0</v>
      </c>
      <c r="H12" s="69">
        <f>E12*1.07</f>
        <v>17.672151806820008</v>
      </c>
      <c r="I12" s="67">
        <v>0</v>
      </c>
      <c r="J12" s="67">
        <v>0</v>
      </c>
      <c r="K12" s="68">
        <f>H12</f>
        <v>17.672151806820008</v>
      </c>
      <c r="L12" s="67">
        <v>0</v>
      </c>
      <c r="M12" s="67">
        <v>0</v>
      </c>
      <c r="N12" s="68">
        <f>K12</f>
        <v>17.672151806820008</v>
      </c>
      <c r="O12" s="65">
        <v>15</v>
      </c>
      <c r="P12" s="71">
        <v>3.36</v>
      </c>
      <c r="Q12" s="71">
        <f t="shared" si="1"/>
        <v>50.4</v>
      </c>
      <c r="R12" s="72">
        <v>101.07</v>
      </c>
      <c r="S12" s="72">
        <v>1516.02</v>
      </c>
      <c r="T12" s="73">
        <f t="shared" si="7"/>
        <v>3.3244286138319978E-2</v>
      </c>
      <c r="U12" s="70">
        <v>1726.5</v>
      </c>
      <c r="V12" s="73">
        <f t="shared" si="8"/>
        <v>2.9192006950477845E-2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'21'!M13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7"/>
        <v>1.2091908643583045E-2</v>
      </c>
      <c r="U13" s="70">
        <v>1216.5</v>
      </c>
      <c r="V13" s="73">
        <f t="shared" si="8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264.64215462969918</v>
      </c>
      <c r="C14" s="68">
        <f>'21'!N14*1.04</f>
        <v>21.967690295543228</v>
      </c>
      <c r="D14" s="68">
        <f>C14</f>
        <v>21.967690295543228</v>
      </c>
      <c r="E14" s="68">
        <f>D14</f>
        <v>21.967690295543228</v>
      </c>
      <c r="F14" s="68">
        <f>E14*1.0026</f>
        <v>22.024806290311638</v>
      </c>
      <c r="G14" s="68">
        <f>F14</f>
        <v>22.024806290311638</v>
      </c>
      <c r="H14" s="68">
        <f>G14</f>
        <v>22.024806290311638</v>
      </c>
      <c r="I14" s="68">
        <f>H14*1.0026</f>
        <v>22.082070786666446</v>
      </c>
      <c r="J14" s="68">
        <f>I14</f>
        <v>22.082070786666446</v>
      </c>
      <c r="K14" s="68">
        <f>J14</f>
        <v>22.082070786666446</v>
      </c>
      <c r="L14" s="68">
        <f>K14*1.0026</f>
        <v>22.139484170711778</v>
      </c>
      <c r="M14" s="68">
        <f>L14</f>
        <v>22.139484170711778</v>
      </c>
      <c r="N14" s="68">
        <f>M14</f>
        <v>22.139484170711778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7"/>
        <v>6.4042266958263191E-2</v>
      </c>
      <c r="U14" s="70">
        <v>4629.72</v>
      </c>
      <c r="V14" s="73">
        <f t="shared" si="8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71.810648611840023</v>
      </c>
      <c r="C15" s="67">
        <v>0</v>
      </c>
      <c r="D15" s="67">
        <v>0</v>
      </c>
      <c r="E15" s="88">
        <f>'21'!N15*1.07</f>
        <v>17.952662152960006</v>
      </c>
      <c r="F15" s="67">
        <v>0</v>
      </c>
      <c r="G15" s="67">
        <v>0</v>
      </c>
      <c r="H15" s="68">
        <f>E15</f>
        <v>17.952662152960006</v>
      </c>
      <c r="I15" s="67">
        <v>0</v>
      </c>
      <c r="J15" s="67">
        <v>0</v>
      </c>
      <c r="K15" s="68">
        <f>H15</f>
        <v>17.952662152960006</v>
      </c>
      <c r="L15" s="67">
        <v>0</v>
      </c>
      <c r="M15" s="67">
        <v>0</v>
      </c>
      <c r="N15" s="68">
        <f>K15</f>
        <v>17.952662152960006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7"/>
        <v>4.1410546748625043E-2</v>
      </c>
      <c r="U15" s="70">
        <v>1294</v>
      </c>
      <c r="V15" s="73">
        <f t="shared" si="8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70.792557020380798</v>
      </c>
      <c r="C16" s="68">
        <f>'21'!L16</f>
        <v>17.610088811040001</v>
      </c>
      <c r="D16" s="70">
        <v>0</v>
      </c>
      <c r="E16" s="70">
        <v>0</v>
      </c>
      <c r="F16" s="68">
        <f>C16</f>
        <v>17.610088811040001</v>
      </c>
      <c r="G16" s="70">
        <v>0</v>
      </c>
      <c r="H16" s="70">
        <v>0</v>
      </c>
      <c r="I16" s="68">
        <f>F16</f>
        <v>17.610088811040001</v>
      </c>
      <c r="J16" s="70">
        <v>0</v>
      </c>
      <c r="K16" s="70">
        <v>0</v>
      </c>
      <c r="L16" s="69">
        <f>I16*1.02</f>
        <v>17.962290587260799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7"/>
        <v>5.0182081273363072E-2</v>
      </c>
      <c r="U16" s="70">
        <v>1394.38</v>
      </c>
      <c r="V16" s="73">
        <f t="shared" si="8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163.00648978444798</v>
      </c>
      <c r="C17" s="70">
        <v>0</v>
      </c>
      <c r="D17" s="69">
        <f>'21'!M17*1.02</f>
        <v>40.751622446111995</v>
      </c>
      <c r="E17" s="70">
        <v>0</v>
      </c>
      <c r="F17" s="67">
        <v>0</v>
      </c>
      <c r="G17" s="68">
        <f>D17</f>
        <v>40.751622446111995</v>
      </c>
      <c r="H17" s="67">
        <v>0</v>
      </c>
      <c r="I17" s="67">
        <v>0</v>
      </c>
      <c r="J17" s="68">
        <f>G17</f>
        <v>40.751622446111995</v>
      </c>
      <c r="K17" s="67">
        <v>0</v>
      </c>
      <c r="L17" s="67">
        <v>0</v>
      </c>
      <c r="M17" s="68">
        <f>J17</f>
        <v>40.751622446111995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7"/>
        <v>6.0512503859215805E-2</v>
      </c>
      <c r="U17" s="70">
        <v>3007.88</v>
      </c>
      <c r="V17" s="73">
        <f t="shared" si="8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67.19075448750003</v>
      </c>
      <c r="C18" s="68">
        <f>'21'!L18</f>
        <v>16.190543250000005</v>
      </c>
      <c r="D18" s="67">
        <v>0</v>
      </c>
      <c r="E18" s="70">
        <v>0</v>
      </c>
      <c r="F18" s="69">
        <f>C18*1.05</f>
        <v>17.000070412500005</v>
      </c>
      <c r="G18" s="67">
        <v>0</v>
      </c>
      <c r="H18" s="67">
        <v>0</v>
      </c>
      <c r="I18" s="68">
        <f>F18</f>
        <v>17.000070412500005</v>
      </c>
      <c r="J18" s="67">
        <v>0</v>
      </c>
      <c r="K18" s="67">
        <v>0</v>
      </c>
      <c r="L18" s="68">
        <f>I18</f>
        <v>17.000070412500005</v>
      </c>
      <c r="M18" s="67">
        <v>0</v>
      </c>
      <c r="N18" s="67">
        <v>0</v>
      </c>
      <c r="O18" s="65">
        <v>30</v>
      </c>
      <c r="P18" s="70">
        <v>1.8</v>
      </c>
      <c r="Q18" s="70">
        <f t="shared" si="1"/>
        <v>54</v>
      </c>
      <c r="R18" s="72">
        <v>42.25</v>
      </c>
      <c r="S18" s="70">
        <v>1267.49</v>
      </c>
      <c r="T18" s="73">
        <f t="shared" si="7"/>
        <v>4.2603550295857988E-2</v>
      </c>
      <c r="U18" s="70">
        <v>1485</v>
      </c>
      <c r="V18" s="73">
        <f t="shared" si="8"/>
        <v>3.6363636363636362E-2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192.87166972500006</v>
      </c>
      <c r="C19" s="70">
        <v>0</v>
      </c>
      <c r="D19" s="70">
        <v>0</v>
      </c>
      <c r="E19" s="69">
        <f>'21'!N19*1.05</f>
        <v>48.217917431250015</v>
      </c>
      <c r="F19" s="70">
        <v>0</v>
      </c>
      <c r="G19" s="70">
        <v>0</v>
      </c>
      <c r="H19" s="68">
        <f>E19</f>
        <v>48.217917431250015</v>
      </c>
      <c r="I19" s="70">
        <v>0</v>
      </c>
      <c r="J19" s="70">
        <v>0</v>
      </c>
      <c r="K19" s="68">
        <f>H19</f>
        <v>48.217917431250015</v>
      </c>
      <c r="L19" s="70">
        <v>0</v>
      </c>
      <c r="M19" s="70">
        <v>0</v>
      </c>
      <c r="N19" s="68">
        <f>K19</f>
        <v>48.217917431250015</v>
      </c>
      <c r="O19" s="65">
        <v>100</v>
      </c>
      <c r="P19" s="70">
        <v>1.53</v>
      </c>
      <c r="Q19" s="70">
        <f t="shared" si="1"/>
        <v>153</v>
      </c>
      <c r="R19" s="72">
        <v>39.590000000000003</v>
      </c>
      <c r="S19" s="70">
        <v>3962.41</v>
      </c>
      <c r="T19" s="73">
        <f t="shared" si="7"/>
        <v>3.864612275827229E-2</v>
      </c>
      <c r="U19" s="70">
        <v>4027</v>
      </c>
      <c r="V19" s="73">
        <f t="shared" si="8"/>
        <v>3.7993543580829403E-2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76.674134249999994</v>
      </c>
      <c r="C20" s="70">
        <v>0</v>
      </c>
      <c r="D20" s="70">
        <v>0</v>
      </c>
      <c r="E20" s="68">
        <f>'21'!N20</f>
        <v>18.475695000000002</v>
      </c>
      <c r="F20" s="70">
        <v>0</v>
      </c>
      <c r="G20" s="70">
        <v>0</v>
      </c>
      <c r="H20" s="69">
        <f>E20*1.05</f>
        <v>19.399479750000001</v>
      </c>
      <c r="I20" s="70">
        <v>0</v>
      </c>
      <c r="J20" s="70">
        <v>0</v>
      </c>
      <c r="K20" s="68">
        <f>H20</f>
        <v>19.399479750000001</v>
      </c>
      <c r="L20" s="70">
        <v>0</v>
      </c>
      <c r="M20" s="70">
        <v>0</v>
      </c>
      <c r="N20" s="68">
        <f>K20</f>
        <v>19.399479750000001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58.262253328125013</v>
      </c>
      <c r="C21" s="70">
        <v>0</v>
      </c>
      <c r="D21" s="70">
        <v>0</v>
      </c>
      <c r="E21" s="68">
        <f>'21'!N21</f>
        <v>14.039097187500003</v>
      </c>
      <c r="F21" s="70">
        <v>0</v>
      </c>
      <c r="G21" s="70">
        <v>0</v>
      </c>
      <c r="H21" s="69">
        <f>E21*1.05</f>
        <v>14.741052046875003</v>
      </c>
      <c r="I21" s="70">
        <v>0</v>
      </c>
      <c r="J21" s="70">
        <v>0</v>
      </c>
      <c r="K21" s="68">
        <f>H21</f>
        <v>14.741052046875003</v>
      </c>
      <c r="L21" s="70">
        <v>0</v>
      </c>
      <c r="M21" s="70">
        <v>0</v>
      </c>
      <c r="N21" s="68">
        <f>K21</f>
        <v>14.741052046875003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7"/>
        <v>3.2403997895844291E-2</v>
      </c>
      <c r="U21" s="70">
        <v>1354.5</v>
      </c>
      <c r="V21" s="73">
        <f t="shared" si="8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9">SUM(B3:B21)</f>
        <v>2238.0328227252553</v>
      </c>
      <c r="C23" s="79">
        <f t="shared" si="9"/>
        <v>148.60969733057948</v>
      </c>
      <c r="D23" s="79">
        <f t="shared" si="9"/>
        <v>119.77312300029119</v>
      </c>
      <c r="E23" s="79">
        <f t="shared" si="9"/>
        <v>280.83030779325321</v>
      </c>
      <c r="F23" s="79">
        <f t="shared" si="9"/>
        <v>152.85154297039276</v>
      </c>
      <c r="G23" s="79">
        <f t="shared" si="9"/>
        <v>121.57830857526663</v>
      </c>
      <c r="H23" s="79">
        <f t="shared" si="9"/>
        <v>284.74928547821662</v>
      </c>
      <c r="I23" s="79">
        <f t="shared" si="9"/>
        <v>154.00880746674758</v>
      </c>
      <c r="J23" s="79">
        <f t="shared" si="9"/>
        <v>122.75557307162144</v>
      </c>
      <c r="K23" s="79">
        <f t="shared" si="9"/>
        <v>285.94654997457144</v>
      </c>
      <c r="L23" s="79">
        <f t="shared" si="9"/>
        <v>155.83267725003142</v>
      </c>
      <c r="M23" s="79">
        <f t="shared" si="9"/>
        <v>123.95298645566677</v>
      </c>
      <c r="N23" s="79">
        <f t="shared" si="9"/>
        <v>287.14396335861676</v>
      </c>
      <c r="O23" s="80"/>
      <c r="P23" s="64"/>
      <c r="Q23" s="81">
        <f>SUM(Q3:Q21)</f>
        <v>1686.8817387999998</v>
      </c>
      <c r="R23" s="78"/>
      <c r="S23" s="81">
        <f>SUM(S3:S21)</f>
        <v>37541.48000000001</v>
      </c>
      <c r="T23" s="82">
        <f>Q23/S23</f>
        <v>4.4933810249356158E-2</v>
      </c>
      <c r="U23" s="81">
        <f>SUM(U3:U22)</f>
        <v>39461.630000000005</v>
      </c>
      <c r="V23" s="82">
        <f>B23/U23</f>
        <v>5.6714150498224605E-2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2021</v>
      </c>
      <c r="B25" s="70">
        <f>SUM(C25:N25)</f>
        <v>2086.5397206373009</v>
      </c>
      <c r="C25" s="68">
        <f>'21'!C23</f>
        <v>138.58675232804072</v>
      </c>
      <c r="D25" s="68">
        <f>'21'!D23</f>
        <v>112.82213144885324</v>
      </c>
      <c r="E25" s="68">
        <f>'21'!E23</f>
        <v>260.72858009792168</v>
      </c>
      <c r="F25" s="68">
        <f>'21'!F23</f>
        <v>142.47967403784986</v>
      </c>
      <c r="G25" s="68">
        <f>'21'!G23</f>
        <v>114.47884708353847</v>
      </c>
      <c r="H25" s="68">
        <f>'21'!H23</f>
        <v>264.39188453510849</v>
      </c>
      <c r="I25" s="68">
        <f>'21'!I23</f>
        <v>143.53430879352828</v>
      </c>
      <c r="J25" s="68">
        <f>'21'!J23</f>
        <v>115.54348183921684</v>
      </c>
      <c r="K25" s="68">
        <f>'21'!K23</f>
        <v>265.47651929078688</v>
      </c>
      <c r="L25" s="68">
        <f>'21'!L23</f>
        <v>145.23798644036623</v>
      </c>
      <c r="M25" s="68">
        <f>'21'!M23</f>
        <v>116.65825864525999</v>
      </c>
      <c r="N25" s="68">
        <f>'21'!N23</f>
        <v>266.60129609683003</v>
      </c>
      <c r="T25" s="84"/>
    </row>
    <row r="26" spans="1:25" x14ac:dyDescent="0.2">
      <c r="A26" s="83" t="s">
        <v>40</v>
      </c>
      <c r="B26" s="73">
        <f t="shared" ref="B26:N26" si="10">(B23-B25)/B25</f>
        <v>7.2604945206450805E-2</v>
      </c>
      <c r="C26" s="73">
        <f t="shared" si="10"/>
        <v>7.2322533244837325E-2</v>
      </c>
      <c r="D26" s="73">
        <f t="shared" si="10"/>
        <v>6.1610177561563909E-2</v>
      </c>
      <c r="E26" s="73">
        <f t="shared" si="10"/>
        <v>7.7098290060038446E-2</v>
      </c>
      <c r="F26" s="73">
        <f t="shared" si="10"/>
        <v>7.2795428559077127E-2</v>
      </c>
      <c r="G26" s="73">
        <f t="shared" si="10"/>
        <v>6.2015487337564512E-2</v>
      </c>
      <c r="H26" s="73">
        <f t="shared" si="10"/>
        <v>7.699707189917504E-2</v>
      </c>
      <c r="I26" s="73">
        <f t="shared" si="10"/>
        <v>7.2975574698915316E-2</v>
      </c>
      <c r="J26" s="73">
        <f t="shared" si="10"/>
        <v>6.2418849749053811E-2</v>
      </c>
      <c r="K26" s="73">
        <f t="shared" si="10"/>
        <v>7.7106746534381543E-2</v>
      </c>
      <c r="L26" s="73">
        <f t="shared" si="10"/>
        <v>7.2947106120996155E-2</v>
      </c>
      <c r="M26" s="73">
        <f t="shared" si="10"/>
        <v>6.2530744887843215E-2</v>
      </c>
      <c r="N26" s="73">
        <f t="shared" si="10"/>
        <v>7.7053891194608454E-2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F7" sqref="F7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51.920254812177603</v>
      </c>
      <c r="C3" s="67">
        <v>0</v>
      </c>
      <c r="D3" s="68">
        <f>'22'!M3</f>
        <v>12.450601858990817</v>
      </c>
      <c r="E3" s="67">
        <v>0</v>
      </c>
      <c r="F3" s="67">
        <v>0</v>
      </c>
      <c r="G3" s="69">
        <f>D3*1.0567</f>
        <v>13.156550984395595</v>
      </c>
      <c r="H3" s="67">
        <v>0</v>
      </c>
      <c r="I3" s="67">
        <v>0</v>
      </c>
      <c r="J3" s="68">
        <f>G3</f>
        <v>13.156550984395595</v>
      </c>
      <c r="K3" s="67">
        <v>0</v>
      </c>
      <c r="L3" s="67">
        <v>0</v>
      </c>
      <c r="M3" s="68">
        <f>J3</f>
        <v>13.156550984395595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398.71999999999991</v>
      </c>
      <c r="C4" s="68">
        <f>'22'!N4+0.4</f>
        <v>30.97999999999999</v>
      </c>
      <c r="D4" s="68">
        <f>C4+0.4</f>
        <v>31.379999999999988</v>
      </c>
      <c r="E4" s="68">
        <f t="shared" ref="E4:G4" si="4">D4+0.4</f>
        <v>31.779999999999987</v>
      </c>
      <c r="F4" s="68">
        <f t="shared" si="4"/>
        <v>32.179999999999986</v>
      </c>
      <c r="G4" s="68">
        <f t="shared" si="4"/>
        <v>32.579999999999984</v>
      </c>
      <c r="H4" s="68">
        <f>G4+0.42</f>
        <v>32.999999999999986</v>
      </c>
      <c r="I4" s="68">
        <f t="shared" ref="I4:N4" si="5">H4+0.42</f>
        <v>33.419999999999987</v>
      </c>
      <c r="J4" s="68">
        <f t="shared" si="5"/>
        <v>33.839999999999989</v>
      </c>
      <c r="K4" s="68">
        <f t="shared" si="5"/>
        <v>34.259999999999991</v>
      </c>
      <c r="L4" s="68">
        <f t="shared" si="5"/>
        <v>34.679999999999993</v>
      </c>
      <c r="M4" s="68">
        <f t="shared" si="5"/>
        <v>35.099999999999994</v>
      </c>
      <c r="N4" s="68">
        <f t="shared" si="5"/>
        <v>35.519999999999996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6">S4/O4</f>
        <v>30.548918837647957</v>
      </c>
      <c r="S4" s="72">
        <v>2235.02</v>
      </c>
      <c r="T4" s="73">
        <f t="shared" ref="T4:T21" si="7">P4/R4</f>
        <v>8.641877030183176E-2</v>
      </c>
      <c r="U4" s="70">
        <v>1545.65</v>
      </c>
      <c r="V4" s="73">
        <f t="shared" ref="V4:V21" si="8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254.40583679999995</v>
      </c>
      <c r="C5" s="67">
        <v>0</v>
      </c>
      <c r="D5" s="67">
        <v>0</v>
      </c>
      <c r="E5" s="69">
        <f>'22'!N5*1.2</f>
        <v>63.601459199999987</v>
      </c>
      <c r="F5" s="67">
        <v>0</v>
      </c>
      <c r="G5" s="67">
        <v>0</v>
      </c>
      <c r="H5" s="68">
        <f>E5</f>
        <v>63.601459199999987</v>
      </c>
      <c r="I5" s="67">
        <v>0</v>
      </c>
      <c r="J5" s="67">
        <v>0</v>
      </c>
      <c r="K5" s="68">
        <f>H5</f>
        <v>63.601459199999987</v>
      </c>
      <c r="L5" s="67">
        <v>0</v>
      </c>
      <c r="M5" s="67">
        <v>0</v>
      </c>
      <c r="N5" s="68">
        <f>K5</f>
        <v>63.601459199999987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57.072496751837242</v>
      </c>
      <c r="C6" s="68">
        <f>'22'!L6</f>
        <v>13.986985773903843</v>
      </c>
      <c r="D6" s="67">
        <v>0</v>
      </c>
      <c r="E6" s="67">
        <v>0</v>
      </c>
      <c r="F6" s="69">
        <f>C6*1.02</f>
        <v>14.266725489381921</v>
      </c>
      <c r="G6" s="67">
        <v>0</v>
      </c>
      <c r="H6" s="67">
        <v>0</v>
      </c>
      <c r="I6" s="68">
        <f>F6</f>
        <v>14.266725489381921</v>
      </c>
      <c r="J6" s="67">
        <v>0</v>
      </c>
      <c r="K6" s="67">
        <v>0</v>
      </c>
      <c r="L6" s="69">
        <f>I6*1.02</f>
        <v>14.552059999169559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6"/>
        <v>51.681500000000007</v>
      </c>
      <c r="S6" s="72">
        <v>1033.6300000000001</v>
      </c>
      <c r="T6" s="73">
        <f t="shared" si="7"/>
        <v>4.1794452560393949E-2</v>
      </c>
      <c r="U6" s="70">
        <v>1124.4000000000001</v>
      </c>
      <c r="V6" s="73">
        <f t="shared" si="8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'22'!N7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6"/>
        <v>43.217272727272722</v>
      </c>
      <c r="S7" s="70">
        <v>2376.9499999999998</v>
      </c>
      <c r="T7" s="73">
        <f t="shared" si="7"/>
        <v>5.5533351563979053E-2</v>
      </c>
      <c r="U7" s="70">
        <v>2048.75</v>
      </c>
      <c r="V7" s="73">
        <f t="shared" si="8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104.79029238439689</v>
      </c>
      <c r="C8" s="68">
        <f>'22'!L8</f>
        <v>24.54105208065501</v>
      </c>
      <c r="D8" s="67">
        <v>0</v>
      </c>
      <c r="E8" s="67">
        <v>0</v>
      </c>
      <c r="F8" s="69">
        <f>C8*1.09</f>
        <v>26.749746767913962</v>
      </c>
      <c r="G8" s="67"/>
      <c r="H8" s="67"/>
      <c r="I8" s="68">
        <f>F8</f>
        <v>26.749746767913962</v>
      </c>
      <c r="J8" s="67"/>
      <c r="K8" s="67"/>
      <c r="L8" s="68">
        <f>I8</f>
        <v>26.749746767913962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6"/>
        <v>23.256363636363634</v>
      </c>
      <c r="S8" s="72">
        <v>1279.0999999999999</v>
      </c>
      <c r="T8" s="73">
        <f t="shared" si="7"/>
        <v>4.8743647877413816E-2</v>
      </c>
      <c r="U8" s="70">
        <v>1673.1</v>
      </c>
      <c r="V8" s="73">
        <f t="shared" si="8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'22'!N9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6"/>
        <v>12.055439994531195</v>
      </c>
      <c r="S9" s="72">
        <v>2468.9299999999998</v>
      </c>
      <c r="T9" s="73">
        <f t="shared" si="7"/>
        <v>4.9770062334695601E-2</v>
      </c>
      <c r="U9" s="70">
        <v>2508.7800000000002</v>
      </c>
      <c r="V9" s="73">
        <f t="shared" si="8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127.60773574500003</v>
      </c>
      <c r="C10" s="69">
        <f>'22'!L10*1.05</f>
        <v>31.901933936250007</v>
      </c>
      <c r="D10" s="67">
        <v>0</v>
      </c>
      <c r="E10" s="67">
        <v>0</v>
      </c>
      <c r="F10" s="68">
        <f>C10</f>
        <v>31.901933936250007</v>
      </c>
      <c r="G10" s="67">
        <v>0</v>
      </c>
      <c r="H10" s="67">
        <v>0</v>
      </c>
      <c r="I10" s="68">
        <f>F10</f>
        <v>31.901933936250007</v>
      </c>
      <c r="J10" s="67">
        <v>0</v>
      </c>
      <c r="K10" s="67">
        <v>0</v>
      </c>
      <c r="L10" s="68">
        <f>I10</f>
        <v>31.901933936250007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6"/>
        <v>25.006500000000003</v>
      </c>
      <c r="S10" s="72">
        <v>2500.65</v>
      </c>
      <c r="T10" s="73">
        <f t="shared" si="7"/>
        <v>3.8390018595165248E-2</v>
      </c>
      <c r="U10" s="70">
        <v>3170</v>
      </c>
      <c r="V10" s="73">
        <f t="shared" si="8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45.905947015659088</v>
      </c>
      <c r="C11" s="67">
        <v>0</v>
      </c>
      <c r="D11" s="69">
        <f>'22'!M11*1.0366</f>
        <v>11.476486753914772</v>
      </c>
      <c r="E11" s="67">
        <v>0</v>
      </c>
      <c r="F11" s="67">
        <v>0</v>
      </c>
      <c r="G11" s="68">
        <f>D11</f>
        <v>11.476486753914772</v>
      </c>
      <c r="H11" s="67">
        <v>0</v>
      </c>
      <c r="I11" s="67">
        <v>0</v>
      </c>
      <c r="J11" s="68">
        <f>G11</f>
        <v>11.476486753914772</v>
      </c>
      <c r="K11" s="67">
        <v>0</v>
      </c>
      <c r="L11" s="67">
        <v>0</v>
      </c>
      <c r="M11" s="68">
        <f>J11</f>
        <v>11.476486753914772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6"/>
        <v>44.078000000000003</v>
      </c>
      <c r="S11" s="72">
        <v>1101.95</v>
      </c>
      <c r="T11" s="73">
        <f t="shared" si="7"/>
        <v>3.3576841054494301E-2</v>
      </c>
      <c r="U11" s="70">
        <v>725.25</v>
      </c>
      <c r="V11" s="73">
        <f t="shared" si="8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74.399759106712239</v>
      </c>
      <c r="C12" s="67">
        <v>0</v>
      </c>
      <c r="D12" s="67">
        <v>0</v>
      </c>
      <c r="E12" s="68">
        <f>'22'!N12</f>
        <v>17.672151806820008</v>
      </c>
      <c r="F12" s="67">
        <v>0</v>
      </c>
      <c r="G12" s="67">
        <v>0</v>
      </c>
      <c r="H12" s="69">
        <f>E12*1.07</f>
        <v>18.909202433297409</v>
      </c>
      <c r="I12" s="67">
        <v>0</v>
      </c>
      <c r="J12" s="67">
        <v>0</v>
      </c>
      <c r="K12" s="68">
        <f>H12</f>
        <v>18.909202433297409</v>
      </c>
      <c r="L12" s="67">
        <v>0</v>
      </c>
      <c r="M12" s="67">
        <v>0</v>
      </c>
      <c r="N12" s="68">
        <f>K12</f>
        <v>18.909202433297409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7"/>
        <v>3.1760166221430693E-2</v>
      </c>
      <c r="U12" s="70">
        <v>1726.5</v>
      </c>
      <c r="V12" s="73">
        <f t="shared" si="8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'22'!M13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7"/>
        <v>1.2091908643583045E-2</v>
      </c>
      <c r="U13" s="70">
        <v>1216.5</v>
      </c>
      <c r="V13" s="73">
        <f t="shared" si="8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277.38020443125964</v>
      </c>
      <c r="C14" s="68">
        <f>'22'!N14*1.04</f>
        <v>23.025063537540252</v>
      </c>
      <c r="D14" s="68">
        <f>C14</f>
        <v>23.025063537540252</v>
      </c>
      <c r="E14" s="68">
        <f>D14</f>
        <v>23.025063537540252</v>
      </c>
      <c r="F14" s="68">
        <f>E14*1.0026</f>
        <v>23.084928702737855</v>
      </c>
      <c r="G14" s="68">
        <f>F14</f>
        <v>23.084928702737855</v>
      </c>
      <c r="H14" s="68">
        <f>G14</f>
        <v>23.084928702737855</v>
      </c>
      <c r="I14" s="68">
        <f>H14*1.0026</f>
        <v>23.144949517364971</v>
      </c>
      <c r="J14" s="68">
        <f>I14</f>
        <v>23.144949517364971</v>
      </c>
      <c r="K14" s="68">
        <f>J14</f>
        <v>23.144949517364971</v>
      </c>
      <c r="L14" s="68">
        <f>K14*1.0026</f>
        <v>23.20512638611012</v>
      </c>
      <c r="M14" s="68">
        <f>L14</f>
        <v>23.20512638611012</v>
      </c>
      <c r="N14" s="68">
        <f>M14</f>
        <v>23.20512638611012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7"/>
        <v>6.4042266958263191E-2</v>
      </c>
      <c r="U14" s="70">
        <v>4629.72</v>
      </c>
      <c r="V14" s="73">
        <f t="shared" si="8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76.837394014668831</v>
      </c>
      <c r="C15" s="67">
        <v>0</v>
      </c>
      <c r="D15" s="67">
        <v>0</v>
      </c>
      <c r="E15" s="88">
        <f>'22'!N15*1.07</f>
        <v>19.209348503667208</v>
      </c>
      <c r="F15" s="67">
        <v>0</v>
      </c>
      <c r="G15" s="67">
        <v>0</v>
      </c>
      <c r="H15" s="68">
        <f>E15</f>
        <v>19.209348503667208</v>
      </c>
      <c r="I15" s="67">
        <v>0</v>
      </c>
      <c r="J15" s="67">
        <v>0</v>
      </c>
      <c r="K15" s="68">
        <f>H15</f>
        <v>19.209348503667208</v>
      </c>
      <c r="L15" s="67">
        <v>0</v>
      </c>
      <c r="M15" s="67">
        <v>0</v>
      </c>
      <c r="N15" s="68">
        <f>K15</f>
        <v>19.209348503667208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7"/>
        <v>4.1410546748625043E-2</v>
      </c>
      <c r="U15" s="70">
        <v>1294</v>
      </c>
      <c r="V15" s="73">
        <f t="shared" si="8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72.208408160788423</v>
      </c>
      <c r="C16" s="68">
        <f>'22'!L16</f>
        <v>17.962290587260799</v>
      </c>
      <c r="D16" s="70">
        <v>0</v>
      </c>
      <c r="E16" s="70">
        <v>0</v>
      </c>
      <c r="F16" s="68">
        <f>C16</f>
        <v>17.962290587260799</v>
      </c>
      <c r="G16" s="70">
        <v>0</v>
      </c>
      <c r="H16" s="70">
        <v>0</v>
      </c>
      <c r="I16" s="68">
        <f>F16</f>
        <v>17.962290587260799</v>
      </c>
      <c r="J16" s="70">
        <v>0</v>
      </c>
      <c r="K16" s="70">
        <v>0</v>
      </c>
      <c r="L16" s="69">
        <f>I16*1.02</f>
        <v>18.321536399006014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7"/>
        <v>5.0182081273363072E-2</v>
      </c>
      <c r="U16" s="70">
        <v>1394.38</v>
      </c>
      <c r="V16" s="73">
        <f t="shared" si="8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166.26661958013693</v>
      </c>
      <c r="C17" s="70">
        <v>0</v>
      </c>
      <c r="D17" s="69">
        <f>'22'!M17*1.02</f>
        <v>41.566654895034233</v>
      </c>
      <c r="E17" s="70">
        <v>0</v>
      </c>
      <c r="F17" s="67">
        <v>0</v>
      </c>
      <c r="G17" s="68">
        <f>D17</f>
        <v>41.566654895034233</v>
      </c>
      <c r="H17" s="67">
        <v>0</v>
      </c>
      <c r="I17" s="67">
        <v>0</v>
      </c>
      <c r="J17" s="68">
        <f>G17</f>
        <v>41.566654895034233</v>
      </c>
      <c r="K17" s="67">
        <v>0</v>
      </c>
      <c r="L17" s="67">
        <v>0</v>
      </c>
      <c r="M17" s="68">
        <f>J17</f>
        <v>41.566654895034233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7"/>
        <v>6.0512503859215805E-2</v>
      </c>
      <c r="U17" s="70">
        <v>3007.88</v>
      </c>
      <c r="V17" s="73">
        <f t="shared" si="8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70.550292211875018</v>
      </c>
      <c r="C18" s="68">
        <f>'22'!L18</f>
        <v>17.000070412500005</v>
      </c>
      <c r="D18" s="67">
        <v>0</v>
      </c>
      <c r="E18" s="70">
        <v>0</v>
      </c>
      <c r="F18" s="69">
        <f>C18*1.05</f>
        <v>17.850073933125007</v>
      </c>
      <c r="G18" s="67">
        <v>0</v>
      </c>
      <c r="H18" s="67">
        <v>0</v>
      </c>
      <c r="I18" s="68">
        <f>F18</f>
        <v>17.850073933125007</v>
      </c>
      <c r="J18" s="67">
        <v>0</v>
      </c>
      <c r="K18" s="67">
        <v>0</v>
      </c>
      <c r="L18" s="68">
        <f>I18</f>
        <v>17.850073933125007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7"/>
        <v>4.0757396449704143E-2</v>
      </c>
      <c r="U18" s="70">
        <v>1485</v>
      </c>
      <c r="V18" s="73">
        <f t="shared" si="8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202.51525321125007</v>
      </c>
      <c r="C19" s="70">
        <v>0</v>
      </c>
      <c r="D19" s="70">
        <v>0</v>
      </c>
      <c r="E19" s="69">
        <f>'22'!N19*1.05</f>
        <v>50.628813302812517</v>
      </c>
      <c r="F19" s="70">
        <v>0</v>
      </c>
      <c r="G19" s="70">
        <v>0</v>
      </c>
      <c r="H19" s="68">
        <f>E19</f>
        <v>50.628813302812517</v>
      </c>
      <c r="I19" s="70">
        <v>0</v>
      </c>
      <c r="J19" s="70">
        <v>0</v>
      </c>
      <c r="K19" s="68">
        <f>H19</f>
        <v>50.628813302812517</v>
      </c>
      <c r="L19" s="70">
        <v>0</v>
      </c>
      <c r="M19" s="70">
        <v>0</v>
      </c>
      <c r="N19" s="68">
        <f>K19</f>
        <v>50.628813302812517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7"/>
        <v>3.5362465269007319E-2</v>
      </c>
      <c r="U19" s="70">
        <v>4027</v>
      </c>
      <c r="V19" s="73">
        <f t="shared" si="8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80.507840962500012</v>
      </c>
      <c r="C20" s="70">
        <v>0</v>
      </c>
      <c r="D20" s="70">
        <v>0</v>
      </c>
      <c r="E20" s="68">
        <f>'22'!N20</f>
        <v>19.399479750000001</v>
      </c>
      <c r="F20" s="70">
        <v>0</v>
      </c>
      <c r="G20" s="70">
        <v>0</v>
      </c>
      <c r="H20" s="69">
        <f>E20*1.05</f>
        <v>20.369453737500002</v>
      </c>
      <c r="I20" s="70">
        <v>0</v>
      </c>
      <c r="J20" s="70">
        <v>0</v>
      </c>
      <c r="K20" s="68">
        <f>H20</f>
        <v>20.369453737500002</v>
      </c>
      <c r="L20" s="70">
        <v>0</v>
      </c>
      <c r="M20" s="70">
        <v>0</v>
      </c>
      <c r="N20" s="68">
        <f>K20</f>
        <v>20.369453737500002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61.175365994531262</v>
      </c>
      <c r="C21" s="70">
        <v>0</v>
      </c>
      <c r="D21" s="70">
        <v>0</v>
      </c>
      <c r="E21" s="68">
        <f>'22'!N21</f>
        <v>14.741052046875003</v>
      </c>
      <c r="F21" s="70">
        <v>0</v>
      </c>
      <c r="G21" s="70">
        <v>0</v>
      </c>
      <c r="H21" s="69">
        <f>E21*1.05</f>
        <v>15.478104649218754</v>
      </c>
      <c r="I21" s="70">
        <v>0</v>
      </c>
      <c r="J21" s="70">
        <v>0</v>
      </c>
      <c r="K21" s="68">
        <f>H21</f>
        <v>15.478104649218754</v>
      </c>
      <c r="L21" s="70">
        <v>0</v>
      </c>
      <c r="M21" s="70">
        <v>0</v>
      </c>
      <c r="N21" s="68">
        <f>K21</f>
        <v>15.478104649218754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7"/>
        <v>3.2403997895844291E-2</v>
      </c>
      <c r="U21" s="70">
        <v>1354.5</v>
      </c>
      <c r="V21" s="73">
        <f t="shared" si="8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9">SUM(B3:B21)</f>
        <v>2405.3837011827932</v>
      </c>
      <c r="C23" s="79">
        <f t="shared" si="9"/>
        <v>159.39739632810989</v>
      </c>
      <c r="D23" s="79">
        <f t="shared" si="9"/>
        <v>127.23880704548006</v>
      </c>
      <c r="E23" s="79">
        <f t="shared" si="9"/>
        <v>303.49736814771495</v>
      </c>
      <c r="F23" s="79">
        <f t="shared" si="9"/>
        <v>163.99569941666954</v>
      </c>
      <c r="G23" s="79">
        <f t="shared" si="9"/>
        <v>129.20462133608243</v>
      </c>
      <c r="H23" s="79">
        <f t="shared" si="9"/>
        <v>307.72131052923373</v>
      </c>
      <c r="I23" s="79">
        <f t="shared" si="9"/>
        <v>165.29572023129666</v>
      </c>
      <c r="J23" s="79">
        <f t="shared" si="9"/>
        <v>130.52464215070955</v>
      </c>
      <c r="K23" s="79">
        <f t="shared" si="9"/>
        <v>309.04133134386086</v>
      </c>
      <c r="L23" s="79">
        <f t="shared" si="9"/>
        <v>167.26047742157465</v>
      </c>
      <c r="M23" s="79">
        <f t="shared" si="9"/>
        <v>131.84481901945472</v>
      </c>
      <c r="N23" s="79">
        <f t="shared" si="9"/>
        <v>310.361508212606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6.0955001128508705E-2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2022</v>
      </c>
      <c r="B25" s="70">
        <f>SUM(C25:N25)</f>
        <v>2238.0328227252553</v>
      </c>
      <c r="C25" s="68">
        <f>'22'!C23</f>
        <v>148.60969733057948</v>
      </c>
      <c r="D25" s="68">
        <f>'22'!D23</f>
        <v>119.77312300029119</v>
      </c>
      <c r="E25" s="68">
        <f>'22'!E23</f>
        <v>280.83030779325321</v>
      </c>
      <c r="F25" s="68">
        <f>'22'!F23</f>
        <v>152.85154297039276</v>
      </c>
      <c r="G25" s="68">
        <f>'22'!G23</f>
        <v>121.57830857526663</v>
      </c>
      <c r="H25" s="68">
        <f>'22'!H23</f>
        <v>284.74928547821662</v>
      </c>
      <c r="I25" s="68">
        <f>'22'!I23</f>
        <v>154.00880746674758</v>
      </c>
      <c r="J25" s="68">
        <f>'22'!J23</f>
        <v>122.75557307162144</v>
      </c>
      <c r="K25" s="68">
        <f>'22'!K23</f>
        <v>285.94654997457144</v>
      </c>
      <c r="L25" s="68">
        <f>'22'!L23</f>
        <v>155.83267725003142</v>
      </c>
      <c r="M25" s="68">
        <f>'22'!M23</f>
        <v>123.95298645566677</v>
      </c>
      <c r="N25" s="68">
        <f>'22'!N23</f>
        <v>287.14396335861676</v>
      </c>
      <c r="T25" s="84"/>
    </row>
    <row r="26" spans="1:25" x14ac:dyDescent="0.2">
      <c r="A26" s="83" t="s">
        <v>40</v>
      </c>
      <c r="B26" s="73">
        <f t="shared" ref="B26:N26" si="10">(B23-B25)/B25</f>
        <v>7.4775882086373743E-2</v>
      </c>
      <c r="C26" s="73">
        <f t="shared" si="10"/>
        <v>7.259081467297103E-2</v>
      </c>
      <c r="D26" s="73">
        <f t="shared" si="10"/>
        <v>6.2331880961062652E-2</v>
      </c>
      <c r="E26" s="73">
        <f t="shared" si="10"/>
        <v>8.0714437599624003E-2</v>
      </c>
      <c r="F26" s="73">
        <f t="shared" si="10"/>
        <v>7.2908367359009241E-2</v>
      </c>
      <c r="G26" s="73">
        <f t="shared" si="10"/>
        <v>6.272757739588472E-2</v>
      </c>
      <c r="H26" s="73">
        <f t="shared" si="10"/>
        <v>8.0674566092192979E-2</v>
      </c>
      <c r="I26" s="73">
        <f t="shared" si="10"/>
        <v>7.3287449920590136E-2</v>
      </c>
      <c r="J26" s="73">
        <f t="shared" si="10"/>
        <v>6.328893169318893E-2</v>
      </c>
      <c r="K26" s="73">
        <f t="shared" si="10"/>
        <v>8.0766078035713965E-2</v>
      </c>
      <c r="L26" s="73">
        <f t="shared" si="10"/>
        <v>7.333378578362916E-2</v>
      </c>
      <c r="M26" s="73">
        <f t="shared" si="10"/>
        <v>6.3667950159559478E-2</v>
      </c>
      <c r="N26" s="73">
        <f t="shared" si="10"/>
        <v>8.0856809881782649E-2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L6" sqref="L6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54.864133260028076</v>
      </c>
      <c r="C3" s="67">
        <v>0</v>
      </c>
      <c r="D3" s="68">
        <f>'23'!M3</f>
        <v>13.156550984395595</v>
      </c>
      <c r="E3" s="67">
        <v>0</v>
      </c>
      <c r="F3" s="67">
        <v>0</v>
      </c>
      <c r="G3" s="69">
        <f>D3*1.0567</f>
        <v>13.902527425210826</v>
      </c>
      <c r="H3" s="67">
        <v>0</v>
      </c>
      <c r="I3" s="67">
        <v>0</v>
      </c>
      <c r="J3" s="68">
        <f>G3</f>
        <v>13.902527425210826</v>
      </c>
      <c r="K3" s="67">
        <v>0</v>
      </c>
      <c r="L3" s="67">
        <v>0</v>
      </c>
      <c r="M3" s="68">
        <f>J3</f>
        <v>13.902527425210826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460.97999999999979</v>
      </c>
      <c r="C4" s="68">
        <f>'23'!N4+0.44</f>
        <v>35.959999999999994</v>
      </c>
      <c r="D4" s="68">
        <f>C4+0.44</f>
        <v>36.399999999999991</v>
      </c>
      <c r="E4" s="68">
        <f t="shared" ref="E4:H4" si="4">D4+0.44</f>
        <v>36.839999999999989</v>
      </c>
      <c r="F4" s="68">
        <f t="shared" si="4"/>
        <v>37.279999999999987</v>
      </c>
      <c r="G4" s="68">
        <f t="shared" si="4"/>
        <v>37.719999999999985</v>
      </c>
      <c r="H4" s="68">
        <f t="shared" si="4"/>
        <v>38.159999999999982</v>
      </c>
      <c r="I4" s="68">
        <f>H4+0.46</f>
        <v>38.619999999999983</v>
      </c>
      <c r="J4" s="68">
        <f t="shared" ref="J4:N4" si="5">I4+0.46</f>
        <v>39.079999999999984</v>
      </c>
      <c r="K4" s="68">
        <f t="shared" si="5"/>
        <v>39.539999999999985</v>
      </c>
      <c r="L4" s="68">
        <f t="shared" si="5"/>
        <v>39.999999999999986</v>
      </c>
      <c r="M4" s="68">
        <f t="shared" si="5"/>
        <v>40.459999999999987</v>
      </c>
      <c r="N4" s="68">
        <f t="shared" si="5"/>
        <v>40.919999999999987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6">S4/O4</f>
        <v>30.548918837647957</v>
      </c>
      <c r="S4" s="72">
        <v>2235.02</v>
      </c>
      <c r="T4" s="73">
        <f t="shared" ref="T4:T21" si="7">P4/R4</f>
        <v>8.641877030183176E-2</v>
      </c>
      <c r="U4" s="70">
        <v>1545.65</v>
      </c>
      <c r="V4" s="73">
        <f t="shared" ref="V4:V21" si="8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305.28700415999992</v>
      </c>
      <c r="C5" s="67">
        <v>0</v>
      </c>
      <c r="D5" s="67">
        <v>0</v>
      </c>
      <c r="E5" s="69">
        <f>'23'!N5*1.2</f>
        <v>76.321751039999981</v>
      </c>
      <c r="F5" s="67">
        <v>0</v>
      </c>
      <c r="G5" s="67">
        <v>0</v>
      </c>
      <c r="H5" s="68">
        <f>E5</f>
        <v>76.321751039999981</v>
      </c>
      <c r="I5" s="67">
        <v>0</v>
      </c>
      <c r="J5" s="67">
        <v>0</v>
      </c>
      <c r="K5" s="68">
        <f>H5</f>
        <v>76.321751039999981</v>
      </c>
      <c r="L5" s="67">
        <v>0</v>
      </c>
      <c r="M5" s="67">
        <v>0</v>
      </c>
      <c r="N5" s="68">
        <f>K5</f>
        <v>76.321751039999981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59.378225620611474</v>
      </c>
      <c r="C6" s="68">
        <f>'23'!L6</f>
        <v>14.552059999169559</v>
      </c>
      <c r="D6" s="67">
        <v>0</v>
      </c>
      <c r="E6" s="67">
        <v>0</v>
      </c>
      <c r="F6" s="69">
        <f>C6*1.02</f>
        <v>14.843101199152951</v>
      </c>
      <c r="G6" s="67">
        <v>0</v>
      </c>
      <c r="H6" s="67">
        <v>0</v>
      </c>
      <c r="I6" s="68">
        <f>F6</f>
        <v>14.843101199152951</v>
      </c>
      <c r="J6" s="67">
        <v>0</v>
      </c>
      <c r="K6" s="67">
        <v>0</v>
      </c>
      <c r="L6" s="69">
        <f>I6*1.02</f>
        <v>15.139963223136011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6"/>
        <v>51.681500000000007</v>
      </c>
      <c r="S6" s="72">
        <v>1033.6300000000001</v>
      </c>
      <c r="T6" s="73">
        <f t="shared" si="7"/>
        <v>4.1794452560393949E-2</v>
      </c>
      <c r="U6" s="70">
        <v>1124.4000000000001</v>
      </c>
      <c r="V6" s="73">
        <f t="shared" si="8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'23'!N7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6"/>
        <v>43.217272727272722</v>
      </c>
      <c r="S7" s="70">
        <v>2376.9499999999998</v>
      </c>
      <c r="T7" s="73">
        <f t="shared" si="7"/>
        <v>5.5533351563979053E-2</v>
      </c>
      <c r="U7" s="70">
        <v>2048.75</v>
      </c>
      <c r="V7" s="73">
        <f t="shared" si="8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114.22141869899262</v>
      </c>
      <c r="C8" s="68">
        <f>'23'!L8</f>
        <v>26.749746767913962</v>
      </c>
      <c r="D8" s="67">
        <v>0</v>
      </c>
      <c r="E8" s="67">
        <v>0</v>
      </c>
      <c r="F8" s="69">
        <f>C8*1.09</f>
        <v>29.15722397702622</v>
      </c>
      <c r="G8" s="67"/>
      <c r="H8" s="67"/>
      <c r="I8" s="68">
        <f>F8</f>
        <v>29.15722397702622</v>
      </c>
      <c r="J8" s="67"/>
      <c r="K8" s="67"/>
      <c r="L8" s="68">
        <f>I8</f>
        <v>29.15722397702622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6"/>
        <v>23.256363636363634</v>
      </c>
      <c r="S8" s="72">
        <v>1279.0999999999999</v>
      </c>
      <c r="T8" s="73">
        <f t="shared" si="7"/>
        <v>4.8743647877413816E-2</v>
      </c>
      <c r="U8" s="70">
        <v>1673.1</v>
      </c>
      <c r="V8" s="73">
        <f t="shared" si="8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'23'!N9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6"/>
        <v>12.055439994531195</v>
      </c>
      <c r="S9" s="72">
        <v>2468.9299999999998</v>
      </c>
      <c r="T9" s="73">
        <f t="shared" si="7"/>
        <v>4.9770062334695601E-2</v>
      </c>
      <c r="U9" s="70">
        <v>2508.7800000000002</v>
      </c>
      <c r="V9" s="73">
        <f t="shared" si="8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133.98812253225003</v>
      </c>
      <c r="C10" s="69">
        <f>'23'!L10*1.05</f>
        <v>33.497030633062508</v>
      </c>
      <c r="D10" s="67">
        <v>0</v>
      </c>
      <c r="E10" s="67">
        <v>0</v>
      </c>
      <c r="F10" s="68">
        <f>C10</f>
        <v>33.497030633062508</v>
      </c>
      <c r="G10" s="67">
        <v>0</v>
      </c>
      <c r="H10" s="67">
        <v>0</v>
      </c>
      <c r="I10" s="68">
        <f>F10</f>
        <v>33.497030633062508</v>
      </c>
      <c r="J10" s="67">
        <v>0</v>
      </c>
      <c r="K10" s="67">
        <v>0</v>
      </c>
      <c r="L10" s="68">
        <f>I10</f>
        <v>33.497030633062508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6"/>
        <v>25.006500000000003</v>
      </c>
      <c r="S10" s="72">
        <v>2500.65</v>
      </c>
      <c r="T10" s="73">
        <f t="shared" si="7"/>
        <v>3.8390018595165248E-2</v>
      </c>
      <c r="U10" s="70">
        <v>3170</v>
      </c>
      <c r="V10" s="73">
        <f t="shared" si="8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47.586104676432207</v>
      </c>
      <c r="C11" s="67">
        <v>0</v>
      </c>
      <c r="D11" s="69">
        <f>'23'!M11*1.0366</f>
        <v>11.896526169108052</v>
      </c>
      <c r="E11" s="67">
        <v>0</v>
      </c>
      <c r="F11" s="67">
        <v>0</v>
      </c>
      <c r="G11" s="68">
        <f>D11</f>
        <v>11.896526169108052</v>
      </c>
      <c r="H11" s="67">
        <v>0</v>
      </c>
      <c r="I11" s="67">
        <v>0</v>
      </c>
      <c r="J11" s="68">
        <f>G11</f>
        <v>11.896526169108052</v>
      </c>
      <c r="K11" s="67">
        <v>0</v>
      </c>
      <c r="L11" s="67">
        <v>0</v>
      </c>
      <c r="M11" s="68">
        <f>J11</f>
        <v>11.896526169108052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6"/>
        <v>44.078000000000003</v>
      </c>
      <c r="S11" s="72">
        <v>1101.95</v>
      </c>
      <c r="T11" s="73">
        <f t="shared" si="7"/>
        <v>3.3576841054494301E-2</v>
      </c>
      <c r="U11" s="70">
        <v>725.25</v>
      </c>
      <c r="V11" s="73">
        <f t="shared" si="8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79.607742244182106</v>
      </c>
      <c r="C12" s="67">
        <v>0</v>
      </c>
      <c r="D12" s="67">
        <v>0</v>
      </c>
      <c r="E12" s="68">
        <f>'23'!N12</f>
        <v>18.909202433297409</v>
      </c>
      <c r="F12" s="67">
        <v>0</v>
      </c>
      <c r="G12" s="67">
        <v>0</v>
      </c>
      <c r="H12" s="69">
        <f>E12*1.07</f>
        <v>20.232846603628229</v>
      </c>
      <c r="I12" s="67">
        <v>0</v>
      </c>
      <c r="J12" s="67">
        <v>0</v>
      </c>
      <c r="K12" s="68">
        <f>H12</f>
        <v>20.232846603628229</v>
      </c>
      <c r="L12" s="67">
        <v>0</v>
      </c>
      <c r="M12" s="67">
        <v>0</v>
      </c>
      <c r="N12" s="68">
        <f>K12</f>
        <v>20.232846603628229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7"/>
        <v>3.1760166221430693E-2</v>
      </c>
      <c r="U12" s="70">
        <v>1726.5</v>
      </c>
      <c r="V12" s="73">
        <f t="shared" si="8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'23'!M13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7"/>
        <v>1.2091908643583045E-2</v>
      </c>
      <c r="U13" s="70">
        <v>1216.5</v>
      </c>
      <c r="V13" s="73">
        <f t="shared" si="8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290.73137617846783</v>
      </c>
      <c r="C14" s="68">
        <f>'23'!N14*1.04</f>
        <v>24.133331441554525</v>
      </c>
      <c r="D14" s="68">
        <f>C14</f>
        <v>24.133331441554525</v>
      </c>
      <c r="E14" s="68">
        <f>D14</f>
        <v>24.133331441554525</v>
      </c>
      <c r="F14" s="68">
        <f>E14*1.0026</f>
        <v>24.196078103302565</v>
      </c>
      <c r="G14" s="68">
        <f>F14</f>
        <v>24.196078103302565</v>
      </c>
      <c r="H14" s="68">
        <f>G14</f>
        <v>24.196078103302565</v>
      </c>
      <c r="I14" s="68">
        <f>H14*1.0026</f>
        <v>24.25898790637115</v>
      </c>
      <c r="J14" s="68">
        <f>I14</f>
        <v>24.25898790637115</v>
      </c>
      <c r="K14" s="68">
        <f>J14</f>
        <v>24.25898790637115</v>
      </c>
      <c r="L14" s="68">
        <f>K14*1.0026</f>
        <v>24.322061274927712</v>
      </c>
      <c r="M14" s="68">
        <f>L14</f>
        <v>24.322061274927712</v>
      </c>
      <c r="N14" s="68">
        <f>M14</f>
        <v>24.322061274927712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7"/>
        <v>6.4042266958263191E-2</v>
      </c>
      <c r="U14" s="70">
        <v>4629.72</v>
      </c>
      <c r="V14" s="73">
        <f t="shared" si="8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82.216011595695647</v>
      </c>
      <c r="C15" s="67">
        <v>0</v>
      </c>
      <c r="D15" s="67">
        <v>0</v>
      </c>
      <c r="E15" s="88">
        <f>'23'!N15*1.07</f>
        <v>20.554002898923912</v>
      </c>
      <c r="F15" s="67">
        <v>0</v>
      </c>
      <c r="G15" s="67">
        <v>0</v>
      </c>
      <c r="H15" s="68">
        <f>E15</f>
        <v>20.554002898923912</v>
      </c>
      <c r="I15" s="67">
        <v>0</v>
      </c>
      <c r="J15" s="67">
        <v>0</v>
      </c>
      <c r="K15" s="68">
        <f>H15</f>
        <v>20.554002898923912</v>
      </c>
      <c r="L15" s="67">
        <v>0</v>
      </c>
      <c r="M15" s="67">
        <v>0</v>
      </c>
      <c r="N15" s="68">
        <f>K15</f>
        <v>20.554002898923912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7"/>
        <v>4.1410546748625043E-2</v>
      </c>
      <c r="U15" s="70">
        <v>1294</v>
      </c>
      <c r="V15" s="73">
        <f t="shared" si="8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73.652576324004173</v>
      </c>
      <c r="C16" s="68">
        <f>'23'!L16</f>
        <v>18.321536399006014</v>
      </c>
      <c r="D16" s="70">
        <v>0</v>
      </c>
      <c r="E16" s="70">
        <v>0</v>
      </c>
      <c r="F16" s="68">
        <f>C16</f>
        <v>18.321536399006014</v>
      </c>
      <c r="G16" s="70">
        <v>0</v>
      </c>
      <c r="H16" s="70">
        <v>0</v>
      </c>
      <c r="I16" s="68">
        <f>F16</f>
        <v>18.321536399006014</v>
      </c>
      <c r="J16" s="70">
        <v>0</v>
      </c>
      <c r="K16" s="70">
        <v>0</v>
      </c>
      <c r="L16" s="69">
        <f>I16*1.02</f>
        <v>18.687967126986134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7"/>
        <v>5.0182081273363072E-2</v>
      </c>
      <c r="U16" s="70">
        <v>1394.38</v>
      </c>
      <c r="V16" s="73">
        <f t="shared" si="8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169.59195197173966</v>
      </c>
      <c r="C17" s="70">
        <v>0</v>
      </c>
      <c r="D17" s="69">
        <f>'23'!M17*1.02</f>
        <v>42.397987992934915</v>
      </c>
      <c r="E17" s="70">
        <v>0</v>
      </c>
      <c r="F17" s="67">
        <v>0</v>
      </c>
      <c r="G17" s="68">
        <f>D17</f>
        <v>42.397987992934915</v>
      </c>
      <c r="H17" s="67">
        <v>0</v>
      </c>
      <c r="I17" s="67">
        <v>0</v>
      </c>
      <c r="J17" s="68">
        <f>G17</f>
        <v>42.397987992934915</v>
      </c>
      <c r="K17" s="67">
        <v>0</v>
      </c>
      <c r="L17" s="67">
        <v>0</v>
      </c>
      <c r="M17" s="68">
        <f>J17</f>
        <v>42.397987992934915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7"/>
        <v>6.0512503859215805E-2</v>
      </c>
      <c r="U17" s="70">
        <v>3007.88</v>
      </c>
      <c r="V17" s="73">
        <f t="shared" si="8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74.077806822468787</v>
      </c>
      <c r="C18" s="68">
        <f>'23'!L18</f>
        <v>17.850073933125007</v>
      </c>
      <c r="D18" s="67">
        <v>0</v>
      </c>
      <c r="E18" s="70">
        <v>0</v>
      </c>
      <c r="F18" s="69">
        <f>C18*1.05</f>
        <v>18.742577629781259</v>
      </c>
      <c r="G18" s="67">
        <v>0</v>
      </c>
      <c r="H18" s="67">
        <v>0</v>
      </c>
      <c r="I18" s="68">
        <f>F18</f>
        <v>18.742577629781259</v>
      </c>
      <c r="J18" s="67">
        <v>0</v>
      </c>
      <c r="K18" s="67">
        <v>0</v>
      </c>
      <c r="L18" s="68">
        <f>I18</f>
        <v>18.742577629781259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7"/>
        <v>4.0757396449704143E-2</v>
      </c>
      <c r="U18" s="70">
        <v>1485</v>
      </c>
      <c r="V18" s="73">
        <f t="shared" si="8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212.64101587181258</v>
      </c>
      <c r="C19" s="70">
        <v>0</v>
      </c>
      <c r="D19" s="70">
        <v>0</v>
      </c>
      <c r="E19" s="69">
        <f>'23'!N19*1.05</f>
        <v>53.160253967953146</v>
      </c>
      <c r="F19" s="70">
        <v>0</v>
      </c>
      <c r="G19" s="70">
        <v>0</v>
      </c>
      <c r="H19" s="68">
        <f>E19</f>
        <v>53.160253967953146</v>
      </c>
      <c r="I19" s="70">
        <v>0</v>
      </c>
      <c r="J19" s="70">
        <v>0</v>
      </c>
      <c r="K19" s="68">
        <f>H19</f>
        <v>53.160253967953146</v>
      </c>
      <c r="L19" s="70">
        <v>0</v>
      </c>
      <c r="M19" s="70">
        <v>0</v>
      </c>
      <c r="N19" s="68">
        <f>K19</f>
        <v>53.160253967953146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7"/>
        <v>3.5362465269007319E-2</v>
      </c>
      <c r="U19" s="70">
        <v>4027</v>
      </c>
      <c r="V19" s="73">
        <f t="shared" si="8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84.533233010625011</v>
      </c>
      <c r="C20" s="70">
        <v>0</v>
      </c>
      <c r="D20" s="70">
        <v>0</v>
      </c>
      <c r="E20" s="68">
        <f>'23'!N20</f>
        <v>20.369453737500002</v>
      </c>
      <c r="F20" s="70">
        <v>0</v>
      </c>
      <c r="G20" s="70">
        <v>0</v>
      </c>
      <c r="H20" s="69">
        <f>E20*1.05</f>
        <v>21.387926424375003</v>
      </c>
      <c r="I20" s="70">
        <v>0</v>
      </c>
      <c r="J20" s="70">
        <v>0</v>
      </c>
      <c r="K20" s="68">
        <f>H20</f>
        <v>21.387926424375003</v>
      </c>
      <c r="L20" s="70">
        <v>0</v>
      </c>
      <c r="M20" s="70">
        <v>0</v>
      </c>
      <c r="N20" s="68">
        <f>K20</f>
        <v>21.387926424375003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64.234134294257814</v>
      </c>
      <c r="C21" s="70">
        <v>0</v>
      </c>
      <c r="D21" s="70">
        <v>0</v>
      </c>
      <c r="E21" s="68">
        <f>'23'!N21</f>
        <v>15.478104649218754</v>
      </c>
      <c r="F21" s="70">
        <v>0</v>
      </c>
      <c r="G21" s="70">
        <v>0</v>
      </c>
      <c r="H21" s="69">
        <f>E21*1.05</f>
        <v>16.25200988167969</v>
      </c>
      <c r="I21" s="70">
        <v>0</v>
      </c>
      <c r="J21" s="70">
        <v>0</v>
      </c>
      <c r="K21" s="68">
        <f>H21</f>
        <v>16.25200988167969</v>
      </c>
      <c r="L21" s="70">
        <v>0</v>
      </c>
      <c r="M21" s="70">
        <v>0</v>
      </c>
      <c r="N21" s="68">
        <f>K21</f>
        <v>16.25200988167969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7"/>
        <v>3.2403997895844291E-2</v>
      </c>
      <c r="U21" s="70">
        <v>1354.5</v>
      </c>
      <c r="V21" s="73">
        <f t="shared" si="8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9">SUM(B3:B21)</f>
        <v>2590.7108572615675</v>
      </c>
      <c r="C23" s="79">
        <f t="shared" si="9"/>
        <v>171.06377917383156</v>
      </c>
      <c r="D23" s="79">
        <f t="shared" si="9"/>
        <v>135.32439658799308</v>
      </c>
      <c r="E23" s="79">
        <f t="shared" si="9"/>
        <v>329.20610016844779</v>
      </c>
      <c r="F23" s="79">
        <f t="shared" si="9"/>
        <v>176.03754794133152</v>
      </c>
      <c r="G23" s="79">
        <f t="shared" si="9"/>
        <v>137.45311969055635</v>
      </c>
      <c r="H23" s="79">
        <f t="shared" si="9"/>
        <v>333.70486891986252</v>
      </c>
      <c r="I23" s="79">
        <f t="shared" si="9"/>
        <v>177.44045774440011</v>
      </c>
      <c r="J23" s="79">
        <f t="shared" si="9"/>
        <v>138.87602949362491</v>
      </c>
      <c r="K23" s="79">
        <f t="shared" si="9"/>
        <v>335.14777872293109</v>
      </c>
      <c r="L23" s="79">
        <f t="shared" si="9"/>
        <v>179.54682386491984</v>
      </c>
      <c r="M23" s="79">
        <f t="shared" si="9"/>
        <v>140.31910286218152</v>
      </c>
      <c r="N23" s="79">
        <f t="shared" si="9"/>
        <v>336.59085209148765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6.5651389901065088E-2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2023</v>
      </c>
      <c r="B25" s="70">
        <f>SUM(C25:N25)</f>
        <v>2405.3837011827936</v>
      </c>
      <c r="C25" s="68">
        <f>'23'!C23</f>
        <v>159.39739632810989</v>
      </c>
      <c r="D25" s="68">
        <f>'23'!D23</f>
        <v>127.23880704548006</v>
      </c>
      <c r="E25" s="68">
        <f>'23'!E23</f>
        <v>303.49736814771495</v>
      </c>
      <c r="F25" s="68">
        <f>'23'!F23</f>
        <v>163.99569941666954</v>
      </c>
      <c r="G25" s="68">
        <f>'23'!G23</f>
        <v>129.20462133608243</v>
      </c>
      <c r="H25" s="68">
        <f>'23'!H23</f>
        <v>307.72131052923373</v>
      </c>
      <c r="I25" s="68">
        <f>'23'!I23</f>
        <v>165.29572023129666</v>
      </c>
      <c r="J25" s="68">
        <f>'23'!J23</f>
        <v>130.52464215070955</v>
      </c>
      <c r="K25" s="68">
        <f>'23'!K23</f>
        <v>309.04133134386086</v>
      </c>
      <c r="L25" s="68">
        <f>'23'!L23</f>
        <v>167.26047742157465</v>
      </c>
      <c r="M25" s="68">
        <f>'23'!M23</f>
        <v>131.84481901945472</v>
      </c>
      <c r="N25" s="68">
        <f>'23'!N23</f>
        <v>310.361508212606</v>
      </c>
      <c r="T25" s="84"/>
    </row>
    <row r="26" spans="1:25" x14ac:dyDescent="0.2">
      <c r="A26" s="83" t="s">
        <v>40</v>
      </c>
      <c r="B26" s="73">
        <f t="shared" ref="B26:N26" si="10">(B23-B25)/B25</f>
        <v>7.7046816267875851E-2</v>
      </c>
      <c r="C26" s="73">
        <f t="shared" si="10"/>
        <v>7.3190548368225083E-2</v>
      </c>
      <c r="D26" s="73">
        <f t="shared" si="10"/>
        <v>6.3546568301468889E-2</v>
      </c>
      <c r="E26" s="73">
        <f t="shared" si="10"/>
        <v>8.4708253576090853E-2</v>
      </c>
      <c r="F26" s="73">
        <f t="shared" si="10"/>
        <v>7.3427831141271854E-2</v>
      </c>
      <c r="G26" s="73">
        <f t="shared" si="10"/>
        <v>6.3840583016130867E-2</v>
      </c>
      <c r="H26" s="73">
        <f t="shared" si="10"/>
        <v>8.4438605652436063E-2</v>
      </c>
      <c r="I26" s="73">
        <f t="shared" si="10"/>
        <v>7.3472788624590155E-2</v>
      </c>
      <c r="J26" s="73">
        <f t="shared" si="10"/>
        <v>6.3983223438164843E-2</v>
      </c>
      <c r="K26" s="73">
        <f t="shared" si="10"/>
        <v>8.4475585403242986E-2</v>
      </c>
      <c r="L26" s="73">
        <f t="shared" si="10"/>
        <v>7.3456363587782028E-2</v>
      </c>
      <c r="M26" s="73">
        <f t="shared" si="10"/>
        <v>6.4274682204056577E-2</v>
      </c>
      <c r="N26" s="73">
        <f t="shared" si="10"/>
        <v>8.4512232299482973E-2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F7" sqref="F7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57.974929615871659</v>
      </c>
      <c r="C3" s="67">
        <v>0</v>
      </c>
      <c r="D3" s="68">
        <f>'24'!M3</f>
        <v>13.902527425210826</v>
      </c>
      <c r="E3" s="67">
        <v>0</v>
      </c>
      <c r="F3" s="67">
        <v>0</v>
      </c>
      <c r="G3" s="69">
        <f>D3*1.0567</f>
        <v>14.690800730220278</v>
      </c>
      <c r="H3" s="67">
        <v>0</v>
      </c>
      <c r="I3" s="67">
        <v>0</v>
      </c>
      <c r="J3" s="68">
        <f>G3</f>
        <v>14.690800730220278</v>
      </c>
      <c r="K3" s="67">
        <v>0</v>
      </c>
      <c r="L3" s="67">
        <v>0</v>
      </c>
      <c r="M3" s="68">
        <f>J3</f>
        <v>14.690800730220278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528.89999999999964</v>
      </c>
      <c r="C4" s="68">
        <f>'24'!N4+0.48</f>
        <v>41.399999999999984</v>
      </c>
      <c r="D4" s="68">
        <f>C4+0.48</f>
        <v>41.879999999999981</v>
      </c>
      <c r="E4" s="68">
        <f t="shared" ref="E4:H4" si="4">D4+0.48</f>
        <v>42.359999999999978</v>
      </c>
      <c r="F4" s="68">
        <f t="shared" si="4"/>
        <v>42.839999999999975</v>
      </c>
      <c r="G4" s="68">
        <f t="shared" si="4"/>
        <v>43.319999999999972</v>
      </c>
      <c r="H4" s="68">
        <f t="shared" si="4"/>
        <v>43.799999999999969</v>
      </c>
      <c r="I4" s="68">
        <f>H4+0.5</f>
        <v>44.299999999999969</v>
      </c>
      <c r="J4" s="68">
        <f t="shared" ref="J4:N4" si="5">I4+0.5</f>
        <v>44.799999999999969</v>
      </c>
      <c r="K4" s="68">
        <f t="shared" si="5"/>
        <v>45.299999999999969</v>
      </c>
      <c r="L4" s="68">
        <f t="shared" si="5"/>
        <v>45.799999999999969</v>
      </c>
      <c r="M4" s="68">
        <f t="shared" si="5"/>
        <v>46.299999999999969</v>
      </c>
      <c r="N4" s="68">
        <f t="shared" si="5"/>
        <v>46.799999999999969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6">S4/O4</f>
        <v>30.548918837647957</v>
      </c>
      <c r="S4" s="72">
        <v>2235.02</v>
      </c>
      <c r="T4" s="73">
        <f t="shared" ref="T4:T21" si="7">P4/R4</f>
        <v>8.641877030183176E-2</v>
      </c>
      <c r="U4" s="70">
        <v>1545.65</v>
      </c>
      <c r="V4" s="73">
        <f t="shared" ref="V4:V21" si="8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366.34440499199991</v>
      </c>
      <c r="C5" s="67">
        <v>0</v>
      </c>
      <c r="D5" s="67">
        <v>0</v>
      </c>
      <c r="E5" s="69">
        <f>'24'!N5*1.2</f>
        <v>91.586101247999977</v>
      </c>
      <c r="F5" s="67">
        <v>0</v>
      </c>
      <c r="G5" s="67">
        <v>0</v>
      </c>
      <c r="H5" s="68">
        <f>E5</f>
        <v>91.586101247999977</v>
      </c>
      <c r="I5" s="67">
        <v>0</v>
      </c>
      <c r="J5" s="67">
        <v>0</v>
      </c>
      <c r="K5" s="68">
        <f>H5</f>
        <v>91.586101247999977</v>
      </c>
      <c r="L5" s="67">
        <v>0</v>
      </c>
      <c r="M5" s="67">
        <v>0</v>
      </c>
      <c r="N5" s="68">
        <f>K5</f>
        <v>91.586101247999977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61.777105935684183</v>
      </c>
      <c r="C6" s="68">
        <f>'24'!L6</f>
        <v>15.139963223136011</v>
      </c>
      <c r="D6" s="67">
        <v>0</v>
      </c>
      <c r="E6" s="67">
        <v>0</v>
      </c>
      <c r="F6" s="69">
        <f>C6*1.02</f>
        <v>15.442762487598731</v>
      </c>
      <c r="G6" s="67">
        <v>0</v>
      </c>
      <c r="H6" s="67">
        <v>0</v>
      </c>
      <c r="I6" s="68">
        <f>F6</f>
        <v>15.442762487598731</v>
      </c>
      <c r="J6" s="67">
        <v>0</v>
      </c>
      <c r="K6" s="67">
        <v>0</v>
      </c>
      <c r="L6" s="69">
        <f>I6*1.02</f>
        <v>15.751617737350706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6"/>
        <v>51.681500000000007</v>
      </c>
      <c r="S6" s="72">
        <v>1033.6300000000001</v>
      </c>
      <c r="T6" s="73">
        <f t="shared" si="7"/>
        <v>4.1794452560393949E-2</v>
      </c>
      <c r="U6" s="70">
        <v>1124.4000000000001</v>
      </c>
      <c r="V6" s="73">
        <f t="shared" si="8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'24'!N7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6"/>
        <v>43.217272727272722</v>
      </c>
      <c r="S7" s="70">
        <v>2376.9499999999998</v>
      </c>
      <c r="T7" s="73">
        <f t="shared" si="7"/>
        <v>5.5533351563979053E-2</v>
      </c>
      <c r="U7" s="70">
        <v>2048.75</v>
      </c>
      <c r="V7" s="73">
        <f t="shared" si="8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124.50134638190197</v>
      </c>
      <c r="C8" s="68">
        <f>'24'!L8</f>
        <v>29.15722397702622</v>
      </c>
      <c r="D8" s="67">
        <v>0</v>
      </c>
      <c r="E8" s="67">
        <v>0</v>
      </c>
      <c r="F8" s="69">
        <f>C8*1.09</f>
        <v>31.781374134958583</v>
      </c>
      <c r="G8" s="67"/>
      <c r="H8" s="67"/>
      <c r="I8" s="68">
        <f>F8</f>
        <v>31.781374134958583</v>
      </c>
      <c r="J8" s="67"/>
      <c r="K8" s="67"/>
      <c r="L8" s="68">
        <f>I8</f>
        <v>31.781374134958583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6"/>
        <v>23.256363636363634</v>
      </c>
      <c r="S8" s="72">
        <v>1279.0999999999999</v>
      </c>
      <c r="T8" s="73">
        <f t="shared" si="7"/>
        <v>4.8743647877413816E-2</v>
      </c>
      <c r="U8" s="70">
        <v>1673.1</v>
      </c>
      <c r="V8" s="73">
        <f t="shared" si="8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'24'!N9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6"/>
        <v>12.055439994531195</v>
      </c>
      <c r="S9" s="72">
        <v>2468.9299999999998</v>
      </c>
      <c r="T9" s="73">
        <f t="shared" si="7"/>
        <v>4.9770062334695601E-2</v>
      </c>
      <c r="U9" s="70">
        <v>2508.7800000000002</v>
      </c>
      <c r="V9" s="73">
        <f t="shared" si="8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140.68752865886253</v>
      </c>
      <c r="C10" s="69">
        <f>'24'!L10*1.05</f>
        <v>35.171882164715633</v>
      </c>
      <c r="D10" s="67">
        <v>0</v>
      </c>
      <c r="E10" s="67">
        <v>0</v>
      </c>
      <c r="F10" s="68">
        <f>C10</f>
        <v>35.171882164715633</v>
      </c>
      <c r="G10" s="67">
        <v>0</v>
      </c>
      <c r="H10" s="67">
        <v>0</v>
      </c>
      <c r="I10" s="68">
        <f>F10</f>
        <v>35.171882164715633</v>
      </c>
      <c r="J10" s="67">
        <v>0</v>
      </c>
      <c r="K10" s="67">
        <v>0</v>
      </c>
      <c r="L10" s="68">
        <f>I10</f>
        <v>35.171882164715633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6"/>
        <v>25.006500000000003</v>
      </c>
      <c r="S10" s="72">
        <v>2500.65</v>
      </c>
      <c r="T10" s="73">
        <f t="shared" si="7"/>
        <v>3.8390018595165248E-2</v>
      </c>
      <c r="U10" s="70">
        <v>3170</v>
      </c>
      <c r="V10" s="73">
        <f t="shared" si="8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49.327756107589622</v>
      </c>
      <c r="C11" s="67">
        <v>0</v>
      </c>
      <c r="D11" s="69">
        <f>'24'!M11*1.0366</f>
        <v>12.331939026897405</v>
      </c>
      <c r="E11" s="67">
        <v>0</v>
      </c>
      <c r="F11" s="67">
        <v>0</v>
      </c>
      <c r="G11" s="68">
        <f>D11</f>
        <v>12.331939026897405</v>
      </c>
      <c r="H11" s="67">
        <v>0</v>
      </c>
      <c r="I11" s="67">
        <v>0</v>
      </c>
      <c r="J11" s="68">
        <f>G11</f>
        <v>12.331939026897405</v>
      </c>
      <c r="K11" s="67">
        <v>0</v>
      </c>
      <c r="L11" s="67">
        <v>0</v>
      </c>
      <c r="M11" s="68">
        <f>J11</f>
        <v>12.331939026897405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6"/>
        <v>44.078000000000003</v>
      </c>
      <c r="S11" s="72">
        <v>1101.95</v>
      </c>
      <c r="T11" s="73">
        <f t="shared" si="7"/>
        <v>3.3576841054494301E-2</v>
      </c>
      <c r="U11" s="70">
        <v>725.25</v>
      </c>
      <c r="V11" s="73">
        <f t="shared" si="8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85.180284201274844</v>
      </c>
      <c r="C12" s="67">
        <v>0</v>
      </c>
      <c r="D12" s="67">
        <v>0</v>
      </c>
      <c r="E12" s="68">
        <f>'24'!N12</f>
        <v>20.232846603628229</v>
      </c>
      <c r="F12" s="67">
        <v>0</v>
      </c>
      <c r="G12" s="67">
        <v>0</v>
      </c>
      <c r="H12" s="69">
        <f>E12*1.07</f>
        <v>21.649145865882208</v>
      </c>
      <c r="I12" s="67">
        <v>0</v>
      </c>
      <c r="J12" s="67">
        <v>0</v>
      </c>
      <c r="K12" s="68">
        <f>H12</f>
        <v>21.649145865882208</v>
      </c>
      <c r="L12" s="67">
        <v>0</v>
      </c>
      <c r="M12" s="67">
        <v>0</v>
      </c>
      <c r="N12" s="68">
        <f>K12</f>
        <v>21.649145865882208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7"/>
        <v>3.1760166221430693E-2</v>
      </c>
      <c r="U12" s="70">
        <v>1726.5</v>
      </c>
      <c r="V12" s="73">
        <f t="shared" si="8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'24'!M13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7"/>
        <v>1.2091908643583045E-2</v>
      </c>
      <c r="U13" s="70">
        <v>1216.5</v>
      </c>
      <c r="V13" s="73">
        <f t="shared" si="8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304.72518133705796</v>
      </c>
      <c r="C14" s="68">
        <f>'24'!N14*1.04</f>
        <v>25.294943725924821</v>
      </c>
      <c r="D14" s="68">
        <f>C14</f>
        <v>25.294943725924821</v>
      </c>
      <c r="E14" s="68">
        <f>D14</f>
        <v>25.294943725924821</v>
      </c>
      <c r="F14" s="68">
        <f>E14*1.0026</f>
        <v>25.360710579612224</v>
      </c>
      <c r="G14" s="68">
        <f>F14</f>
        <v>25.360710579612224</v>
      </c>
      <c r="H14" s="68">
        <f>G14</f>
        <v>25.360710579612224</v>
      </c>
      <c r="I14" s="68">
        <f>H14*1.0026</f>
        <v>25.426648427119215</v>
      </c>
      <c r="J14" s="68">
        <f>I14</f>
        <v>25.426648427119215</v>
      </c>
      <c r="K14" s="68">
        <f>J14</f>
        <v>25.426648427119215</v>
      </c>
      <c r="L14" s="68">
        <f>K14*1.0026</f>
        <v>25.492757713029722</v>
      </c>
      <c r="M14" s="68">
        <f>L14</f>
        <v>25.492757713029722</v>
      </c>
      <c r="N14" s="68">
        <f>M14</f>
        <v>25.492757713029722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7"/>
        <v>6.4042266958263191E-2</v>
      </c>
      <c r="U14" s="70">
        <v>4629.72</v>
      </c>
      <c r="V14" s="73">
        <f t="shared" si="8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87.97113240739435</v>
      </c>
      <c r="C15" s="67">
        <v>0</v>
      </c>
      <c r="D15" s="67">
        <v>0</v>
      </c>
      <c r="E15" s="88">
        <f>'24'!N15*1.07</f>
        <v>21.992783101848588</v>
      </c>
      <c r="F15" s="67">
        <v>0</v>
      </c>
      <c r="G15" s="67">
        <v>0</v>
      </c>
      <c r="H15" s="68">
        <f>E15</f>
        <v>21.992783101848588</v>
      </c>
      <c r="I15" s="67">
        <v>0</v>
      </c>
      <c r="J15" s="67">
        <v>0</v>
      </c>
      <c r="K15" s="68">
        <f>H15</f>
        <v>21.992783101848588</v>
      </c>
      <c r="L15" s="67">
        <v>0</v>
      </c>
      <c r="M15" s="67">
        <v>0</v>
      </c>
      <c r="N15" s="68">
        <f>K15</f>
        <v>21.992783101848588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7"/>
        <v>4.1410546748625043E-2</v>
      </c>
      <c r="U15" s="70">
        <v>1294</v>
      </c>
      <c r="V15" s="73">
        <f t="shared" si="8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75.12562785048425</v>
      </c>
      <c r="C16" s="68">
        <f>'24'!L16</f>
        <v>18.687967126986134</v>
      </c>
      <c r="D16" s="70">
        <v>0</v>
      </c>
      <c r="E16" s="70">
        <v>0</v>
      </c>
      <c r="F16" s="68">
        <f>C16</f>
        <v>18.687967126986134</v>
      </c>
      <c r="G16" s="70">
        <v>0</v>
      </c>
      <c r="H16" s="70">
        <v>0</v>
      </c>
      <c r="I16" s="68">
        <f>F16</f>
        <v>18.687967126986134</v>
      </c>
      <c r="J16" s="70">
        <v>0</v>
      </c>
      <c r="K16" s="70">
        <v>0</v>
      </c>
      <c r="L16" s="69">
        <f>I16*1.02</f>
        <v>19.061726469525858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7"/>
        <v>5.0182081273363072E-2</v>
      </c>
      <c r="U16" s="70">
        <v>1394.38</v>
      </c>
      <c r="V16" s="73">
        <f t="shared" si="8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172.98379101117445</v>
      </c>
      <c r="C17" s="70">
        <v>0</v>
      </c>
      <c r="D17" s="69">
        <f>'24'!M17*1.02</f>
        <v>43.245947752793612</v>
      </c>
      <c r="E17" s="70">
        <v>0</v>
      </c>
      <c r="F17" s="67">
        <v>0</v>
      </c>
      <c r="G17" s="68">
        <f>D17</f>
        <v>43.245947752793612</v>
      </c>
      <c r="H17" s="67">
        <v>0</v>
      </c>
      <c r="I17" s="67">
        <v>0</v>
      </c>
      <c r="J17" s="68">
        <f>G17</f>
        <v>43.245947752793612</v>
      </c>
      <c r="K17" s="67">
        <v>0</v>
      </c>
      <c r="L17" s="67">
        <v>0</v>
      </c>
      <c r="M17" s="68">
        <f>J17</f>
        <v>43.245947752793612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7"/>
        <v>6.0512503859215805E-2</v>
      </c>
      <c r="U17" s="70">
        <v>3007.88</v>
      </c>
      <c r="V17" s="73">
        <f t="shared" si="8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77.781697163592227</v>
      </c>
      <c r="C18" s="68">
        <f>'24'!L18</f>
        <v>18.742577629781259</v>
      </c>
      <c r="D18" s="67">
        <v>0</v>
      </c>
      <c r="E18" s="70">
        <v>0</v>
      </c>
      <c r="F18" s="69">
        <f>C18*1.05</f>
        <v>19.679706511270322</v>
      </c>
      <c r="G18" s="67">
        <v>0</v>
      </c>
      <c r="H18" s="67">
        <v>0</v>
      </c>
      <c r="I18" s="68">
        <f>F18</f>
        <v>19.679706511270322</v>
      </c>
      <c r="J18" s="67">
        <v>0</v>
      </c>
      <c r="K18" s="67">
        <v>0</v>
      </c>
      <c r="L18" s="68">
        <f>I18</f>
        <v>19.679706511270322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7"/>
        <v>4.0757396449704143E-2</v>
      </c>
      <c r="U18" s="70">
        <v>1485</v>
      </c>
      <c r="V18" s="73">
        <f t="shared" si="8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223.27306666540323</v>
      </c>
      <c r="C19" s="70">
        <v>0</v>
      </c>
      <c r="D19" s="70">
        <v>0</v>
      </c>
      <c r="E19" s="69">
        <f>'24'!N19*1.05</f>
        <v>55.818266666350809</v>
      </c>
      <c r="F19" s="70">
        <v>0</v>
      </c>
      <c r="G19" s="70">
        <v>0</v>
      </c>
      <c r="H19" s="68">
        <f>E19</f>
        <v>55.818266666350809</v>
      </c>
      <c r="I19" s="70">
        <v>0</v>
      </c>
      <c r="J19" s="70">
        <v>0</v>
      </c>
      <c r="K19" s="68">
        <f>H19</f>
        <v>55.818266666350809</v>
      </c>
      <c r="L19" s="70">
        <v>0</v>
      </c>
      <c r="M19" s="70">
        <v>0</v>
      </c>
      <c r="N19" s="68">
        <f>K19</f>
        <v>55.818266666350809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7"/>
        <v>3.5362465269007319E-2</v>
      </c>
      <c r="U19" s="70">
        <v>4027</v>
      </c>
      <c r="V19" s="73">
        <f t="shared" si="8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88.759894661156267</v>
      </c>
      <c r="C20" s="70">
        <v>0</v>
      </c>
      <c r="D20" s="70">
        <v>0</v>
      </c>
      <c r="E20" s="68">
        <f>'24'!N20</f>
        <v>21.387926424375003</v>
      </c>
      <c r="F20" s="70">
        <v>0</v>
      </c>
      <c r="G20" s="70">
        <v>0</v>
      </c>
      <c r="H20" s="69">
        <f>E20*1.05</f>
        <v>22.457322745593753</v>
      </c>
      <c r="I20" s="70">
        <v>0</v>
      </c>
      <c r="J20" s="70">
        <v>0</v>
      </c>
      <c r="K20" s="68">
        <f>H20</f>
        <v>22.457322745593753</v>
      </c>
      <c r="L20" s="70">
        <v>0</v>
      </c>
      <c r="M20" s="70">
        <v>0</v>
      </c>
      <c r="N20" s="68">
        <f>K20</f>
        <v>22.457322745593753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67.445841008970717</v>
      </c>
      <c r="C21" s="70">
        <v>0</v>
      </c>
      <c r="D21" s="70">
        <v>0</v>
      </c>
      <c r="E21" s="68">
        <f>'24'!N21</f>
        <v>16.25200988167969</v>
      </c>
      <c r="F21" s="70">
        <v>0</v>
      </c>
      <c r="G21" s="70">
        <v>0</v>
      </c>
      <c r="H21" s="69">
        <f>E21*1.05</f>
        <v>17.064610375763674</v>
      </c>
      <c r="I21" s="70">
        <v>0</v>
      </c>
      <c r="J21" s="70">
        <v>0</v>
      </c>
      <c r="K21" s="68">
        <f>H21</f>
        <v>17.064610375763674</v>
      </c>
      <c r="L21" s="70">
        <v>0</v>
      </c>
      <c r="M21" s="70">
        <v>0</v>
      </c>
      <c r="N21" s="68">
        <f>K21</f>
        <v>17.064610375763674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7"/>
        <v>3.2403997895844291E-2</v>
      </c>
      <c r="U21" s="70">
        <v>1354.5</v>
      </c>
      <c r="V21" s="73">
        <f t="shared" si="8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9">SUM(B3:B21)</f>
        <v>2795.8795879984173</v>
      </c>
      <c r="C23" s="79">
        <f t="shared" si="9"/>
        <v>183.59455784757006</v>
      </c>
      <c r="D23" s="79">
        <f t="shared" si="9"/>
        <v>143.99535793082666</v>
      </c>
      <c r="E23" s="79">
        <f t="shared" si="9"/>
        <v>358.36487765180709</v>
      </c>
      <c r="F23" s="79">
        <f t="shared" si="9"/>
        <v>188.96440300514161</v>
      </c>
      <c r="G23" s="79">
        <f t="shared" si="9"/>
        <v>146.2893980895235</v>
      </c>
      <c r="H23" s="79">
        <f t="shared" si="9"/>
        <v>363.16894058305115</v>
      </c>
      <c r="I23" s="79">
        <f t="shared" si="9"/>
        <v>190.49034085264859</v>
      </c>
      <c r="J23" s="79">
        <f t="shared" si="9"/>
        <v>147.83533593703049</v>
      </c>
      <c r="K23" s="79">
        <f t="shared" si="9"/>
        <v>364.73487843055818</v>
      </c>
      <c r="L23" s="79">
        <f t="shared" si="9"/>
        <v>192.73906473085083</v>
      </c>
      <c r="M23" s="79">
        <f t="shared" si="9"/>
        <v>149.40144522294099</v>
      </c>
      <c r="N23" s="79">
        <f t="shared" si="9"/>
        <v>366.30098771646863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7.0850585442071623E-2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2024</v>
      </c>
      <c r="B25" s="70">
        <f>SUM(C25:N25)</f>
        <v>2590.710857261568</v>
      </c>
      <c r="C25" s="68">
        <f>'24'!C23</f>
        <v>171.06377917383156</v>
      </c>
      <c r="D25" s="68">
        <f>'24'!D23</f>
        <v>135.32439658799308</v>
      </c>
      <c r="E25" s="68">
        <f>'24'!E23</f>
        <v>329.20610016844779</v>
      </c>
      <c r="F25" s="68">
        <f>'24'!F23</f>
        <v>176.03754794133152</v>
      </c>
      <c r="G25" s="68">
        <f>'24'!G23</f>
        <v>137.45311969055635</v>
      </c>
      <c r="H25" s="68">
        <f>'24'!H23</f>
        <v>333.70486891986252</v>
      </c>
      <c r="I25" s="68">
        <f>'24'!I23</f>
        <v>177.44045774440011</v>
      </c>
      <c r="J25" s="68">
        <f>'24'!J23</f>
        <v>138.87602949362491</v>
      </c>
      <c r="K25" s="68">
        <f>'24'!K23</f>
        <v>335.14777872293109</v>
      </c>
      <c r="L25" s="68">
        <f>'24'!L23</f>
        <v>179.54682386491984</v>
      </c>
      <c r="M25" s="68">
        <f>'24'!M23</f>
        <v>140.31910286218152</v>
      </c>
      <c r="N25" s="68">
        <f>'24'!N23</f>
        <v>336.59085209148765</v>
      </c>
      <c r="T25" s="84"/>
    </row>
    <row r="26" spans="1:25" x14ac:dyDescent="0.2">
      <c r="A26" s="83" t="s">
        <v>40</v>
      </c>
      <c r="B26" s="73">
        <f t="shared" ref="B26:N26" si="10">(B23-B25)/B25</f>
        <v>7.9193990391392674E-2</v>
      </c>
      <c r="C26" s="73">
        <f t="shared" si="10"/>
        <v>7.3252086059696894E-2</v>
      </c>
      <c r="D26" s="73">
        <f t="shared" si="10"/>
        <v>6.4075374148780256E-2</v>
      </c>
      <c r="E26" s="73">
        <f t="shared" si="10"/>
        <v>8.8573016929028262E-2</v>
      </c>
      <c r="F26" s="73">
        <f t="shared" si="10"/>
        <v>7.3432374030330427E-2</v>
      </c>
      <c r="G26" s="73">
        <f t="shared" si="10"/>
        <v>6.4285760984253926E-2</v>
      </c>
      <c r="H26" s="73">
        <f t="shared" si="10"/>
        <v>8.8293802120892273E-2</v>
      </c>
      <c r="I26" s="73">
        <f t="shared" si="10"/>
        <v>7.3545138882850553E-2</v>
      </c>
      <c r="J26" s="73">
        <f t="shared" si="10"/>
        <v>6.451297949742188E-2</v>
      </c>
      <c r="K26" s="73">
        <f t="shared" si="10"/>
        <v>8.8280757283750177E-2</v>
      </c>
      <c r="L26" s="73">
        <f t="shared" si="10"/>
        <v>7.3475211546242813E-2</v>
      </c>
      <c r="M26" s="73">
        <f t="shared" si="10"/>
        <v>6.4726342853545435E-2</v>
      </c>
      <c r="N26" s="73">
        <f t="shared" si="10"/>
        <v>8.8267804785453777E-2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F7" sqref="F7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61.262108125091579</v>
      </c>
      <c r="C3" s="67">
        <v>0</v>
      </c>
      <c r="D3" s="68">
        <f>'25'!M3</f>
        <v>14.690800730220278</v>
      </c>
      <c r="E3" s="67">
        <v>0</v>
      </c>
      <c r="F3" s="67">
        <v>0</v>
      </c>
      <c r="G3" s="69">
        <f>D3*1.0567</f>
        <v>15.523769131623768</v>
      </c>
      <c r="H3" s="67">
        <v>0</v>
      </c>
      <c r="I3" s="67">
        <v>0</v>
      </c>
      <c r="J3" s="68">
        <f>G3</f>
        <v>15.523769131623768</v>
      </c>
      <c r="K3" s="67">
        <v>0</v>
      </c>
      <c r="L3" s="67">
        <v>0</v>
      </c>
      <c r="M3" s="68">
        <f>J3</f>
        <v>15.523769131623768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602.15999999999985</v>
      </c>
      <c r="C4" s="68">
        <f>'25'!N4+0.52</f>
        <v>47.319999999999972</v>
      </c>
      <c r="D4" s="68">
        <f>C4+0.52</f>
        <v>47.839999999999975</v>
      </c>
      <c r="E4" s="68">
        <f t="shared" ref="E4:N4" si="4">D4+0.52</f>
        <v>48.359999999999978</v>
      </c>
      <c r="F4" s="68">
        <f t="shared" si="4"/>
        <v>48.879999999999981</v>
      </c>
      <c r="G4" s="68">
        <f t="shared" si="4"/>
        <v>49.399999999999984</v>
      </c>
      <c r="H4" s="68">
        <f t="shared" si="4"/>
        <v>49.919999999999987</v>
      </c>
      <c r="I4" s="68">
        <f t="shared" si="4"/>
        <v>50.439999999999991</v>
      </c>
      <c r="J4" s="68">
        <f t="shared" si="4"/>
        <v>50.959999999999994</v>
      </c>
      <c r="K4" s="68">
        <f t="shared" si="4"/>
        <v>51.48</v>
      </c>
      <c r="L4" s="68">
        <f t="shared" si="4"/>
        <v>52</v>
      </c>
      <c r="M4" s="68">
        <f t="shared" si="4"/>
        <v>52.52</v>
      </c>
      <c r="N4" s="68">
        <f t="shared" si="4"/>
        <v>53.040000000000006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5">S4/O4</f>
        <v>30.548918837647957</v>
      </c>
      <c r="S4" s="72">
        <v>2235.02</v>
      </c>
      <c r="T4" s="73">
        <f t="shared" ref="T4:T21" si="6">P4/R4</f>
        <v>8.641877030183176E-2</v>
      </c>
      <c r="U4" s="70">
        <v>1545.65</v>
      </c>
      <c r="V4" s="73">
        <f t="shared" ref="V4:V21" si="7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439.6132859903999</v>
      </c>
      <c r="C5" s="67">
        <v>0</v>
      </c>
      <c r="D5" s="67">
        <v>0</v>
      </c>
      <c r="E5" s="69">
        <f>'25'!N5*1.2</f>
        <v>109.90332149759998</v>
      </c>
      <c r="F5" s="67">
        <v>0</v>
      </c>
      <c r="G5" s="67">
        <v>0</v>
      </c>
      <c r="H5" s="68">
        <f>E5</f>
        <v>109.90332149759998</v>
      </c>
      <c r="I5" s="67">
        <v>0</v>
      </c>
      <c r="J5" s="67">
        <v>0</v>
      </c>
      <c r="K5" s="68">
        <f>H5</f>
        <v>109.90332149759998</v>
      </c>
      <c r="L5" s="67">
        <v>0</v>
      </c>
      <c r="M5" s="67">
        <v>0</v>
      </c>
      <c r="N5" s="68">
        <f>K5</f>
        <v>109.90332149759998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64.272901015485814</v>
      </c>
      <c r="C6" s="68">
        <f>'25'!L6</f>
        <v>15.751617737350706</v>
      </c>
      <c r="D6" s="67">
        <v>0</v>
      </c>
      <c r="E6" s="67">
        <v>0</v>
      </c>
      <c r="F6" s="69">
        <f>C6*1.02</f>
        <v>16.066650092097721</v>
      </c>
      <c r="G6" s="67">
        <v>0</v>
      </c>
      <c r="H6" s="67">
        <v>0</v>
      </c>
      <c r="I6" s="68">
        <f>F6</f>
        <v>16.066650092097721</v>
      </c>
      <c r="J6" s="67">
        <v>0</v>
      </c>
      <c r="K6" s="67">
        <v>0</v>
      </c>
      <c r="L6" s="69">
        <f>I6*1.02</f>
        <v>16.387983093939674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1124.4000000000001</v>
      </c>
      <c r="V6" s="73">
        <f t="shared" si="7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'25'!N7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2048.75</v>
      </c>
      <c r="V7" s="73">
        <f t="shared" si="7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135.70646755627317</v>
      </c>
      <c r="C8" s="68">
        <f>'25'!L8</f>
        <v>31.781374134958583</v>
      </c>
      <c r="D8" s="67">
        <v>0</v>
      </c>
      <c r="E8" s="67">
        <v>0</v>
      </c>
      <c r="F8" s="69">
        <f>C8*1.09</f>
        <v>34.641697807104855</v>
      </c>
      <c r="G8" s="67"/>
      <c r="H8" s="67"/>
      <c r="I8" s="68">
        <f>F8</f>
        <v>34.641697807104855</v>
      </c>
      <c r="J8" s="67"/>
      <c r="K8" s="67"/>
      <c r="L8" s="68">
        <f>I8</f>
        <v>34.641697807104855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5"/>
        <v>23.256363636363634</v>
      </c>
      <c r="S8" s="72">
        <v>1279.0999999999999</v>
      </c>
      <c r="T8" s="73">
        <f t="shared" si="6"/>
        <v>4.8743647877413816E-2</v>
      </c>
      <c r="U8" s="70">
        <v>1673.1</v>
      </c>
      <c r="V8" s="73">
        <f t="shared" si="7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'25'!N9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5"/>
        <v>12.055439994531195</v>
      </c>
      <c r="S9" s="72">
        <v>2468.9299999999998</v>
      </c>
      <c r="T9" s="73">
        <f t="shared" si="6"/>
        <v>4.9770062334695601E-2</v>
      </c>
      <c r="U9" s="70">
        <v>2508.7800000000002</v>
      </c>
      <c r="V9" s="73">
        <f t="shared" si="7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147.72190509180567</v>
      </c>
      <c r="C10" s="69">
        <f>'25'!L10*1.05</f>
        <v>36.930476272951417</v>
      </c>
      <c r="D10" s="67">
        <v>0</v>
      </c>
      <c r="E10" s="67">
        <v>0</v>
      </c>
      <c r="F10" s="68">
        <f>C10</f>
        <v>36.930476272951417</v>
      </c>
      <c r="G10" s="67">
        <v>0</v>
      </c>
      <c r="H10" s="67">
        <v>0</v>
      </c>
      <c r="I10" s="68">
        <f>F10</f>
        <v>36.930476272951417</v>
      </c>
      <c r="J10" s="67">
        <v>0</v>
      </c>
      <c r="K10" s="67">
        <v>0</v>
      </c>
      <c r="L10" s="68">
        <f>I10</f>
        <v>36.930476272951417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3170</v>
      </c>
      <c r="V10" s="73">
        <f t="shared" si="7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51.133151981127398</v>
      </c>
      <c r="C11" s="67">
        <v>0</v>
      </c>
      <c r="D11" s="69">
        <f>'25'!M11*1.0366</f>
        <v>12.783287995281849</v>
      </c>
      <c r="E11" s="67">
        <v>0</v>
      </c>
      <c r="F11" s="67">
        <v>0</v>
      </c>
      <c r="G11" s="68">
        <f>D11</f>
        <v>12.783287995281849</v>
      </c>
      <c r="H11" s="67">
        <v>0</v>
      </c>
      <c r="I11" s="67">
        <v>0</v>
      </c>
      <c r="J11" s="68">
        <f>G11</f>
        <v>12.783287995281849</v>
      </c>
      <c r="K11" s="67">
        <v>0</v>
      </c>
      <c r="L11" s="67">
        <v>0</v>
      </c>
      <c r="M11" s="68">
        <f>J11</f>
        <v>12.783287995281849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725.25</v>
      </c>
      <c r="V11" s="73">
        <f t="shared" si="7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91.142904095364102</v>
      </c>
      <c r="C12" s="67">
        <v>0</v>
      </c>
      <c r="D12" s="67">
        <v>0</v>
      </c>
      <c r="E12" s="68">
        <f>'25'!N12</f>
        <v>21.649145865882208</v>
      </c>
      <c r="F12" s="67">
        <v>0</v>
      </c>
      <c r="G12" s="67">
        <v>0</v>
      </c>
      <c r="H12" s="69">
        <f>E12*1.07</f>
        <v>23.164586076493965</v>
      </c>
      <c r="I12" s="67">
        <v>0</v>
      </c>
      <c r="J12" s="67">
        <v>0</v>
      </c>
      <c r="K12" s="68">
        <f>H12</f>
        <v>23.164586076493965</v>
      </c>
      <c r="L12" s="67">
        <v>0</v>
      </c>
      <c r="M12" s="67">
        <v>0</v>
      </c>
      <c r="N12" s="68">
        <f>K12</f>
        <v>23.164586076493965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6"/>
        <v>3.1760166221430693E-2</v>
      </c>
      <c r="U12" s="70">
        <v>1726.5</v>
      </c>
      <c r="V12" s="73">
        <f t="shared" si="7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'25'!M13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1216.5</v>
      </c>
      <c r="V13" s="73">
        <f t="shared" si="7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319.39255185137472</v>
      </c>
      <c r="C14" s="68">
        <f>'25'!N14*1.04</f>
        <v>26.512468021550912</v>
      </c>
      <c r="D14" s="68">
        <f>C14</f>
        <v>26.512468021550912</v>
      </c>
      <c r="E14" s="68">
        <f>D14</f>
        <v>26.512468021550912</v>
      </c>
      <c r="F14" s="68">
        <f>E14*1.0026</f>
        <v>26.581400438406941</v>
      </c>
      <c r="G14" s="68">
        <f>F14</f>
        <v>26.581400438406941</v>
      </c>
      <c r="H14" s="68">
        <f>G14</f>
        <v>26.581400438406941</v>
      </c>
      <c r="I14" s="68">
        <f>H14*1.0026</f>
        <v>26.650512079546797</v>
      </c>
      <c r="J14" s="68">
        <f>I14</f>
        <v>26.650512079546797</v>
      </c>
      <c r="K14" s="68">
        <f>J14</f>
        <v>26.650512079546797</v>
      </c>
      <c r="L14" s="68">
        <f>K14*1.0026</f>
        <v>26.719803410953617</v>
      </c>
      <c r="M14" s="68">
        <f>L14</f>
        <v>26.719803410953617</v>
      </c>
      <c r="N14" s="68">
        <f>M14</f>
        <v>26.719803410953617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6"/>
        <v>6.4042266958263191E-2</v>
      </c>
      <c r="U14" s="70">
        <v>4629.72</v>
      </c>
      <c r="V14" s="73">
        <f t="shared" si="7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94.129111675911957</v>
      </c>
      <c r="C15" s="67">
        <v>0</v>
      </c>
      <c r="D15" s="67">
        <v>0</v>
      </c>
      <c r="E15" s="88">
        <f>'25'!N15*1.07</f>
        <v>23.532277918977989</v>
      </c>
      <c r="F15" s="67">
        <v>0</v>
      </c>
      <c r="G15" s="67">
        <v>0</v>
      </c>
      <c r="H15" s="68">
        <f>E15</f>
        <v>23.532277918977989</v>
      </c>
      <c r="I15" s="67">
        <v>0</v>
      </c>
      <c r="J15" s="67">
        <v>0</v>
      </c>
      <c r="K15" s="68">
        <f>H15</f>
        <v>23.532277918977989</v>
      </c>
      <c r="L15" s="67">
        <v>0</v>
      </c>
      <c r="M15" s="67">
        <v>0</v>
      </c>
      <c r="N15" s="68">
        <f>K15</f>
        <v>23.532277918977989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1294</v>
      </c>
      <c r="V15" s="73">
        <f t="shared" si="7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76.628140407493959</v>
      </c>
      <c r="C16" s="68">
        <f>'25'!L16</f>
        <v>19.061726469525858</v>
      </c>
      <c r="D16" s="70">
        <v>0</v>
      </c>
      <c r="E16" s="70">
        <v>0</v>
      </c>
      <c r="F16" s="68">
        <f>C16</f>
        <v>19.061726469525858</v>
      </c>
      <c r="G16" s="70">
        <v>0</v>
      </c>
      <c r="H16" s="70">
        <v>0</v>
      </c>
      <c r="I16" s="68">
        <f>F16</f>
        <v>19.061726469525858</v>
      </c>
      <c r="J16" s="70">
        <v>0</v>
      </c>
      <c r="K16" s="70">
        <v>0</v>
      </c>
      <c r="L16" s="69">
        <f>I16*1.02</f>
        <v>19.442960998916377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1394.38</v>
      </c>
      <c r="V16" s="73">
        <f t="shared" si="7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176.44346683139793</v>
      </c>
      <c r="C17" s="70">
        <v>0</v>
      </c>
      <c r="D17" s="69">
        <f>'25'!M17*1.02</f>
        <v>44.110866707849482</v>
      </c>
      <c r="E17" s="70">
        <v>0</v>
      </c>
      <c r="F17" s="67">
        <v>0</v>
      </c>
      <c r="G17" s="68">
        <f>D17</f>
        <v>44.110866707849482</v>
      </c>
      <c r="H17" s="67">
        <v>0</v>
      </c>
      <c r="I17" s="67">
        <v>0</v>
      </c>
      <c r="J17" s="68">
        <f>G17</f>
        <v>44.110866707849482</v>
      </c>
      <c r="K17" s="67">
        <v>0</v>
      </c>
      <c r="L17" s="67">
        <v>0</v>
      </c>
      <c r="M17" s="68">
        <f>J17</f>
        <v>44.110866707849482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3007.88</v>
      </c>
      <c r="V17" s="73">
        <f t="shared" si="7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81.670782021771828</v>
      </c>
      <c r="C18" s="68">
        <f>'25'!L18</f>
        <v>19.679706511270322</v>
      </c>
      <c r="D18" s="67">
        <v>0</v>
      </c>
      <c r="E18" s="70">
        <v>0</v>
      </c>
      <c r="F18" s="69">
        <f>C18*1.05</f>
        <v>20.663691836833838</v>
      </c>
      <c r="G18" s="67">
        <v>0</v>
      </c>
      <c r="H18" s="67">
        <v>0</v>
      </c>
      <c r="I18" s="68">
        <f>F18</f>
        <v>20.663691836833838</v>
      </c>
      <c r="J18" s="67">
        <v>0</v>
      </c>
      <c r="K18" s="67">
        <v>0</v>
      </c>
      <c r="L18" s="68">
        <f>I18</f>
        <v>20.663691836833838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6"/>
        <v>4.0757396449704143E-2</v>
      </c>
      <c r="U18" s="70">
        <v>1485</v>
      </c>
      <c r="V18" s="73">
        <f t="shared" si="7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234.4367199986734</v>
      </c>
      <c r="C19" s="70">
        <v>0</v>
      </c>
      <c r="D19" s="70">
        <v>0</v>
      </c>
      <c r="E19" s="69">
        <f>'25'!N19*1.05</f>
        <v>58.609179999668349</v>
      </c>
      <c r="F19" s="70">
        <v>0</v>
      </c>
      <c r="G19" s="70">
        <v>0</v>
      </c>
      <c r="H19" s="68">
        <f>E19</f>
        <v>58.609179999668349</v>
      </c>
      <c r="I19" s="70">
        <v>0</v>
      </c>
      <c r="J19" s="70">
        <v>0</v>
      </c>
      <c r="K19" s="68">
        <f>H19</f>
        <v>58.609179999668349</v>
      </c>
      <c r="L19" s="70">
        <v>0</v>
      </c>
      <c r="M19" s="70">
        <v>0</v>
      </c>
      <c r="N19" s="68">
        <f>K19</f>
        <v>58.609179999668349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6"/>
        <v>3.5362465269007319E-2</v>
      </c>
      <c r="U19" s="70">
        <v>4027</v>
      </c>
      <c r="V19" s="73">
        <f t="shared" si="7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93.197889394214087</v>
      </c>
      <c r="C20" s="70">
        <v>0</v>
      </c>
      <c r="D20" s="70">
        <v>0</v>
      </c>
      <c r="E20" s="68">
        <f>'25'!N20</f>
        <v>22.457322745593753</v>
      </c>
      <c r="F20" s="70">
        <v>0</v>
      </c>
      <c r="G20" s="70">
        <v>0</v>
      </c>
      <c r="H20" s="69">
        <f>E20*1.05</f>
        <v>23.580188882873443</v>
      </c>
      <c r="I20" s="70">
        <v>0</v>
      </c>
      <c r="J20" s="70">
        <v>0</v>
      </c>
      <c r="K20" s="68">
        <f>H20</f>
        <v>23.580188882873443</v>
      </c>
      <c r="L20" s="70">
        <v>0</v>
      </c>
      <c r="M20" s="70">
        <v>0</v>
      </c>
      <c r="N20" s="68">
        <f>K20</f>
        <v>23.580188882873443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70.818133059419253</v>
      </c>
      <c r="C21" s="70">
        <v>0</v>
      </c>
      <c r="D21" s="70">
        <v>0</v>
      </c>
      <c r="E21" s="68">
        <f>'25'!N21</f>
        <v>17.064610375763674</v>
      </c>
      <c r="F21" s="70">
        <v>0</v>
      </c>
      <c r="G21" s="70">
        <v>0</v>
      </c>
      <c r="H21" s="69">
        <f>E21*1.05</f>
        <v>17.917840894551858</v>
      </c>
      <c r="I21" s="70">
        <v>0</v>
      </c>
      <c r="J21" s="70">
        <v>0</v>
      </c>
      <c r="K21" s="68">
        <f>H21</f>
        <v>17.917840894551858</v>
      </c>
      <c r="L21" s="70">
        <v>0</v>
      </c>
      <c r="M21" s="70">
        <v>0</v>
      </c>
      <c r="N21" s="68">
        <f>K21</f>
        <v>17.917840894551858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1354.5</v>
      </c>
      <c r="V21" s="73">
        <f t="shared" si="7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8">SUM(B3:B21)</f>
        <v>3022.8495190958042</v>
      </c>
      <c r="C23" s="79">
        <f t="shared" si="8"/>
        <v>197.03736914760779</v>
      </c>
      <c r="D23" s="79">
        <f t="shared" si="8"/>
        <v>153.2774234549025</v>
      </c>
      <c r="E23" s="79">
        <f t="shared" si="8"/>
        <v>391.52832642503677</v>
      </c>
      <c r="F23" s="79">
        <f t="shared" si="8"/>
        <v>202.8256429169206</v>
      </c>
      <c r="G23" s="79">
        <f t="shared" si="8"/>
        <v>155.73932427316203</v>
      </c>
      <c r="H23" s="79">
        <f t="shared" si="8"/>
        <v>396.64879570857249</v>
      </c>
      <c r="I23" s="79">
        <f t="shared" si="8"/>
        <v>204.45475455806047</v>
      </c>
      <c r="J23" s="79">
        <f t="shared" si="8"/>
        <v>157.3684359143019</v>
      </c>
      <c r="K23" s="79">
        <f t="shared" si="8"/>
        <v>398.27790734971245</v>
      </c>
      <c r="L23" s="79">
        <f t="shared" si="8"/>
        <v>206.78661342069978</v>
      </c>
      <c r="M23" s="79">
        <f t="shared" si="8"/>
        <v>158.99772724570875</v>
      </c>
      <c r="N23" s="79">
        <f t="shared" si="8"/>
        <v>399.90719868111921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7.6602246767196486E-2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2025</v>
      </c>
      <c r="B25" s="70">
        <f>SUM(C25:N25)</f>
        <v>2795.8795879984173</v>
      </c>
      <c r="C25" s="68">
        <f>'25'!C23</f>
        <v>183.59455784757006</v>
      </c>
      <c r="D25" s="68">
        <f>'25'!D23</f>
        <v>143.99535793082666</v>
      </c>
      <c r="E25" s="68">
        <f>'25'!E23</f>
        <v>358.36487765180709</v>
      </c>
      <c r="F25" s="68">
        <f>'25'!F23</f>
        <v>188.96440300514161</v>
      </c>
      <c r="G25" s="68">
        <f>'25'!G23</f>
        <v>146.2893980895235</v>
      </c>
      <c r="H25" s="68">
        <f>'25'!H23</f>
        <v>363.16894058305115</v>
      </c>
      <c r="I25" s="68">
        <f>'25'!I23</f>
        <v>190.49034085264859</v>
      </c>
      <c r="J25" s="68">
        <f>'25'!J23</f>
        <v>147.83533593703049</v>
      </c>
      <c r="K25" s="68">
        <f>'25'!K23</f>
        <v>364.73487843055818</v>
      </c>
      <c r="L25" s="68">
        <f>'25'!L23</f>
        <v>192.73906473085083</v>
      </c>
      <c r="M25" s="68">
        <f>'25'!M23</f>
        <v>149.40144522294099</v>
      </c>
      <c r="N25" s="68">
        <f>'25'!N23</f>
        <v>366.30098771646863</v>
      </c>
      <c r="T25" s="84"/>
    </row>
    <row r="26" spans="1:25" x14ac:dyDescent="0.2">
      <c r="A26" s="83" t="s">
        <v>40</v>
      </c>
      <c r="B26" s="73">
        <f t="shared" ref="B26:N26" si="9">(B23-B25)/B25</f>
        <v>8.1180152418465115E-2</v>
      </c>
      <c r="C26" s="73">
        <f t="shared" si="9"/>
        <v>7.3220096813537722E-2</v>
      </c>
      <c r="D26" s="73">
        <f t="shared" si="9"/>
        <v>6.4460866360253222E-2</v>
      </c>
      <c r="E26" s="73">
        <f t="shared" si="9"/>
        <v>9.2541012921059193E-2</v>
      </c>
      <c r="F26" s="73">
        <f t="shared" si="9"/>
        <v>7.3353709435961006E-2</v>
      </c>
      <c r="G26" s="73">
        <f t="shared" si="9"/>
        <v>6.459747806095649E-2</v>
      </c>
      <c r="H26" s="73">
        <f t="shared" si="9"/>
        <v>9.2188101415751469E-2</v>
      </c>
      <c r="I26" s="73">
        <f t="shared" si="9"/>
        <v>7.3307725960834319E-2</v>
      </c>
      <c r="J26" s="73">
        <f t="shared" si="9"/>
        <v>6.4484582910082924E-2</v>
      </c>
      <c r="K26" s="73">
        <f t="shared" si="9"/>
        <v>9.1965509477702767E-2</v>
      </c>
      <c r="L26" s="73">
        <f t="shared" si="9"/>
        <v>7.2883764946486365E-2</v>
      </c>
      <c r="M26" s="73">
        <f t="shared" si="9"/>
        <v>6.4231520708838613E-2</v>
      </c>
      <c r="N26" s="73">
        <f t="shared" si="9"/>
        <v>9.1744800291565454E-2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2" workbookViewId="0">
      <selection activeCell="E21" sqref="E21"/>
    </sheetView>
  </sheetViews>
  <sheetFormatPr defaultRowHeight="15" outlineLevelCol="1" x14ac:dyDescent="0.25"/>
  <cols>
    <col min="1" max="1" width="14.85546875" bestFit="1" customWidth="1"/>
    <col min="2" max="2" width="5.140625" hidden="1" customWidth="1" outlineLevel="1"/>
    <col min="3" max="3" width="5.42578125" hidden="1" customWidth="1" outlineLevel="1"/>
    <col min="4" max="4" width="5.28515625" bestFit="1" customWidth="1" collapsed="1"/>
    <col min="5" max="5" width="5.140625" bestFit="1" customWidth="1"/>
    <col min="6" max="7" width="7" bestFit="1" customWidth="1"/>
    <col min="8" max="11" width="9.5703125" bestFit="1" customWidth="1"/>
    <col min="12" max="12" width="9.5703125" customWidth="1"/>
  </cols>
  <sheetData>
    <row r="1" spans="1:12" x14ac:dyDescent="0.25">
      <c r="A1" s="3" t="s">
        <v>0</v>
      </c>
      <c r="B1" s="1">
        <v>2011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  <c r="L1" s="1">
        <v>2021</v>
      </c>
    </row>
    <row r="2" spans="1:12" x14ac:dyDescent="0.25">
      <c r="A2" s="38" t="s">
        <v>1</v>
      </c>
      <c r="B2" s="90">
        <v>0</v>
      </c>
      <c r="C2" s="44">
        <v>0</v>
      </c>
      <c r="D2" s="44">
        <v>8.41</v>
      </c>
      <c r="E2" s="44">
        <f>13.92+18.45</f>
        <v>32.369999999999997</v>
      </c>
      <c r="F2" s="49">
        <v>58.57</v>
      </c>
      <c r="G2" s="49">
        <v>95.57</v>
      </c>
      <c r="H2" s="26">
        <v>108.43</v>
      </c>
      <c r="I2" s="53">
        <f>'18'!C23</f>
        <v>115.17118016000001</v>
      </c>
      <c r="J2" s="53">
        <f>'19'!C23</f>
        <v>122.07753574377661</v>
      </c>
      <c r="K2" s="53">
        <f>'20'!C23</f>
        <v>129.82628193680424</v>
      </c>
      <c r="L2" s="53">
        <f>'21'!C23</f>
        <v>138.58675232804072</v>
      </c>
    </row>
    <row r="3" spans="1:12" x14ac:dyDescent="0.25">
      <c r="A3" s="3" t="s">
        <v>2</v>
      </c>
      <c r="B3" s="44">
        <v>0</v>
      </c>
      <c r="C3" s="44">
        <v>22</v>
      </c>
      <c r="D3" s="44">
        <v>10.06</v>
      </c>
      <c r="E3" s="44">
        <v>53.34</v>
      </c>
      <c r="F3" s="49">
        <v>95.39</v>
      </c>
      <c r="G3" s="49">
        <v>90.33</v>
      </c>
      <c r="H3" s="26">
        <v>59.33</v>
      </c>
      <c r="I3" s="53">
        <f>'18'!D23</f>
        <v>97.328730159999992</v>
      </c>
      <c r="J3" s="53">
        <f>'19'!D23</f>
        <v>101.77456799377659</v>
      </c>
      <c r="K3" s="53">
        <f>'20'!D23</f>
        <v>106.88086053507021</v>
      </c>
      <c r="L3" s="53">
        <f>'21'!D23</f>
        <v>112.82213144885324</v>
      </c>
    </row>
    <row r="4" spans="1:12" x14ac:dyDescent="0.25">
      <c r="A4" s="3" t="s">
        <v>3</v>
      </c>
      <c r="B4" s="44">
        <v>0</v>
      </c>
      <c r="C4" s="44">
        <v>0</v>
      </c>
      <c r="D4" s="44">
        <v>52.75</v>
      </c>
      <c r="E4" s="44">
        <v>80.430000000000007</v>
      </c>
      <c r="F4" s="49">
        <v>137.1</v>
      </c>
      <c r="G4" s="49">
        <v>170.47</v>
      </c>
      <c r="H4" s="26">
        <v>220.52</v>
      </c>
      <c r="I4" s="53">
        <f>'18'!E23</f>
        <v>225.39688015999999</v>
      </c>
      <c r="J4" s="53">
        <f>'19'!E23</f>
        <v>228.27676806377661</v>
      </c>
      <c r="K4" s="53">
        <f>'20'!E23</f>
        <v>243.33602414653225</v>
      </c>
      <c r="L4" s="53">
        <f>'21'!E23</f>
        <v>260.72858009792168</v>
      </c>
    </row>
    <row r="5" spans="1:12" x14ac:dyDescent="0.25">
      <c r="A5" s="3" t="s">
        <v>4</v>
      </c>
      <c r="B5" s="44">
        <v>0</v>
      </c>
      <c r="C5" s="44">
        <v>0</v>
      </c>
      <c r="D5" s="44">
        <v>33.56</v>
      </c>
      <c r="E5" s="44">
        <v>47.3</v>
      </c>
      <c r="F5" s="49">
        <v>84</v>
      </c>
      <c r="G5" s="49">
        <v>111.43</v>
      </c>
      <c r="H5" s="26">
        <v>98.43</v>
      </c>
      <c r="I5" s="53">
        <f>'18'!F23</f>
        <v>117.96948930841599</v>
      </c>
      <c r="J5" s="53">
        <f>'19'!F23</f>
        <v>125.17988895234241</v>
      </c>
      <c r="K5" s="53">
        <f>'20'!F23</f>
        <v>133.27645595285063</v>
      </c>
      <c r="L5" s="53">
        <f>'21'!F23</f>
        <v>142.47967403784986</v>
      </c>
    </row>
    <row r="6" spans="1:12" x14ac:dyDescent="0.25">
      <c r="A6" s="3" t="s">
        <v>5</v>
      </c>
      <c r="B6" s="44">
        <v>0</v>
      </c>
      <c r="C6" s="44">
        <v>0</v>
      </c>
      <c r="D6" s="44">
        <v>33.56</v>
      </c>
      <c r="E6" s="49">
        <v>80.180000000000007</v>
      </c>
      <c r="F6" s="49">
        <v>98.02</v>
      </c>
      <c r="G6" s="49">
        <v>84.85</v>
      </c>
      <c r="H6" s="26">
        <v>83.05</v>
      </c>
      <c r="I6" s="53">
        <f>'18'!G23</f>
        <v>98.341870308415992</v>
      </c>
      <c r="J6" s="53">
        <f>'19'!G23</f>
        <v>102.9503667592424</v>
      </c>
      <c r="K6" s="53">
        <f>'20'!G23</f>
        <v>108.26115014659652</v>
      </c>
      <c r="L6" s="53">
        <f>'21'!G23</f>
        <v>114.47884708353847</v>
      </c>
    </row>
    <row r="7" spans="1:12" x14ac:dyDescent="0.25">
      <c r="A7" s="3" t="s">
        <v>6</v>
      </c>
      <c r="B7" s="44">
        <v>0</v>
      </c>
      <c r="C7" s="44">
        <f>10+37.5</f>
        <v>47.5</v>
      </c>
      <c r="D7" s="44">
        <v>43.75</v>
      </c>
      <c r="E7" s="49">
        <v>82.8</v>
      </c>
      <c r="F7" s="49">
        <v>138.41999999999999</v>
      </c>
      <c r="G7" s="49">
        <v>159.32</v>
      </c>
      <c r="H7" s="26">
        <v>206.21</v>
      </c>
      <c r="I7" s="53">
        <f>'18'!H23</f>
        <v>217.863805308416</v>
      </c>
      <c r="J7" s="53">
        <f>'19'!H23</f>
        <v>231.25448611874245</v>
      </c>
      <c r="K7" s="53">
        <f>'20'!H23</f>
        <v>246.61241030077321</v>
      </c>
      <c r="L7" s="53">
        <f>'21'!H23</f>
        <v>264.39188453510849</v>
      </c>
    </row>
    <row r="8" spans="1:12" x14ac:dyDescent="0.25">
      <c r="A8" s="3" t="s">
        <v>7</v>
      </c>
      <c r="B8" s="44">
        <v>0</v>
      </c>
      <c r="C8" s="44">
        <v>8.75</v>
      </c>
      <c r="D8" s="44">
        <v>38.119999999999997</v>
      </c>
      <c r="E8" s="49">
        <v>48.34</v>
      </c>
      <c r="F8" s="49">
        <v>94.57</v>
      </c>
      <c r="G8" s="49">
        <v>107.97</v>
      </c>
      <c r="H8" s="25">
        <f>'17'!I23</f>
        <v>112.05000000000001</v>
      </c>
      <c r="I8" s="53">
        <f>'18'!I23</f>
        <v>118.47693750221789</v>
      </c>
      <c r="J8" s="53">
        <f>'19'!I23</f>
        <v>125.81962097525114</v>
      </c>
      <c r="K8" s="53">
        <f>'20'!I23</f>
        <v>134.08858173266265</v>
      </c>
      <c r="L8" s="53">
        <f>'21'!I23</f>
        <v>143.53430879352828</v>
      </c>
    </row>
    <row r="9" spans="1:12" x14ac:dyDescent="0.25">
      <c r="A9" s="3" t="s">
        <v>8</v>
      </c>
      <c r="B9" s="44">
        <v>0</v>
      </c>
      <c r="C9" s="44">
        <v>50.42</v>
      </c>
      <c r="D9" s="44">
        <f>19.8+13.62+24.5</f>
        <v>57.92</v>
      </c>
      <c r="E9" s="49">
        <v>82.14</v>
      </c>
      <c r="F9" s="49">
        <v>101.09</v>
      </c>
      <c r="G9" s="49">
        <v>85.38</v>
      </c>
      <c r="H9" s="25">
        <f>'17'!J23</f>
        <v>94.75</v>
      </c>
      <c r="I9" s="53">
        <f>'18'!J23</f>
        <v>98.85931850221786</v>
      </c>
      <c r="J9" s="53">
        <f>'19'!J23</f>
        <v>103.61009878215113</v>
      </c>
      <c r="K9" s="53">
        <f>'20'!J23</f>
        <v>109.08327592640853</v>
      </c>
      <c r="L9" s="53">
        <f>'21'!J23</f>
        <v>115.54348183921684</v>
      </c>
    </row>
    <row r="10" spans="1:12" x14ac:dyDescent="0.25">
      <c r="A10" s="3" t="s">
        <v>9</v>
      </c>
      <c r="B10" s="44">
        <v>0</v>
      </c>
      <c r="C10" s="44">
        <v>21</v>
      </c>
      <c r="D10" s="44">
        <f>10.26+13.62+24.5</f>
        <v>48.379999999999995</v>
      </c>
      <c r="E10" s="49">
        <v>104.42</v>
      </c>
      <c r="F10" s="49">
        <v>140.79</v>
      </c>
      <c r="G10" s="49">
        <v>175.87</v>
      </c>
      <c r="H10" s="25">
        <f>'17'!K23</f>
        <v>206.59</v>
      </c>
      <c r="I10" s="53">
        <f>'18'!K23</f>
        <v>218.39125350221789</v>
      </c>
      <c r="J10" s="53">
        <f>'19'!K23</f>
        <v>231.92421814165118</v>
      </c>
      <c r="K10" s="53">
        <f>'20'!K23</f>
        <v>247.4545360805852</v>
      </c>
      <c r="L10" s="53">
        <f>'21'!K23</f>
        <v>265.47651929078688</v>
      </c>
    </row>
    <row r="11" spans="1:12" x14ac:dyDescent="0.25">
      <c r="A11" s="3" t="s">
        <v>10</v>
      </c>
      <c r="B11" s="44">
        <v>0</v>
      </c>
      <c r="C11" s="44">
        <v>8.75</v>
      </c>
      <c r="D11" s="44">
        <f>17.7931+13.7</f>
        <v>31.493099999999998</v>
      </c>
      <c r="E11" s="49">
        <v>61.33</v>
      </c>
      <c r="F11" s="49">
        <v>96.05</v>
      </c>
      <c r="G11" s="49">
        <v>108.51</v>
      </c>
      <c r="H11" s="25">
        <f>'17'!L23</f>
        <v>113.09510399999999</v>
      </c>
      <c r="I11" s="53">
        <f>'18'!L23</f>
        <v>119.57396274132365</v>
      </c>
      <c r="J11" s="53">
        <f>'19'!L23</f>
        <v>127.07490015809145</v>
      </c>
      <c r="K11" s="53">
        <f>'20'!L23</f>
        <v>135.53273727054372</v>
      </c>
      <c r="L11" s="53">
        <f>'21'!L23</f>
        <v>145.23798644036623</v>
      </c>
    </row>
    <row r="12" spans="1:12" x14ac:dyDescent="0.25">
      <c r="A12" s="3" t="s">
        <v>11</v>
      </c>
      <c r="B12" s="44">
        <v>30.56</v>
      </c>
      <c r="C12" s="44">
        <v>8.33</v>
      </c>
      <c r="D12" s="44">
        <f>20.25+13.76+17.99</f>
        <v>52</v>
      </c>
      <c r="E12" s="49">
        <v>97.5</v>
      </c>
      <c r="F12" s="49">
        <v>102.97</v>
      </c>
      <c r="G12" s="49">
        <v>80.89</v>
      </c>
      <c r="H12" s="25">
        <f>'17'!M23</f>
        <v>95.151903999999988</v>
      </c>
      <c r="I12" s="53">
        <f>'18'!M23</f>
        <v>99.406890061323651</v>
      </c>
      <c r="J12" s="53">
        <f>'19'!M23</f>
        <v>104.29996010831942</v>
      </c>
      <c r="K12" s="53">
        <f>'20'!M23</f>
        <v>109.95553723324807</v>
      </c>
      <c r="L12" s="53">
        <f>'21'!M23</f>
        <v>116.65825864525999</v>
      </c>
    </row>
    <row r="13" spans="1:12" x14ac:dyDescent="0.25">
      <c r="A13" s="3" t="s">
        <v>12</v>
      </c>
      <c r="B13" s="44">
        <v>0</v>
      </c>
      <c r="C13" s="91">
        <v>29.36</v>
      </c>
      <c r="D13" s="45">
        <f>10.26+13.83+18.22+19.95</f>
        <v>62.260000000000005</v>
      </c>
      <c r="E13" s="50">
        <v>127.24</v>
      </c>
      <c r="F13" s="50">
        <v>142.35</v>
      </c>
      <c r="G13" s="50">
        <v>176.41</v>
      </c>
      <c r="H13" s="25">
        <f>'17'!N23</f>
        <v>206.99190400000001</v>
      </c>
      <c r="I13" s="54">
        <f>'18'!N23</f>
        <v>218.94882506132367</v>
      </c>
      <c r="J13" s="54">
        <f>'19'!N23</f>
        <v>232.62407946781946</v>
      </c>
      <c r="K13" s="54">
        <f>'20'!N23</f>
        <v>248.33679738742472</v>
      </c>
      <c r="L13" s="54">
        <f>'21'!N23</f>
        <v>266.60129609683003</v>
      </c>
    </row>
    <row r="14" spans="1:12" s="3" customFormat="1" x14ac:dyDescent="0.25">
      <c r="A14" s="3" t="s">
        <v>86</v>
      </c>
      <c r="B14" s="46">
        <f t="shared" ref="B14:K14" si="0">SUM(B2:B13)</f>
        <v>30.56</v>
      </c>
      <c r="C14" s="47">
        <f t="shared" si="0"/>
        <v>196.11</v>
      </c>
      <c r="D14" s="46">
        <f t="shared" si="0"/>
        <v>472.26310000000001</v>
      </c>
      <c r="E14" s="46">
        <f t="shared" si="0"/>
        <v>897.39</v>
      </c>
      <c r="F14" s="51">
        <f t="shared" si="0"/>
        <v>1289.32</v>
      </c>
      <c r="G14" s="51">
        <f t="shared" si="0"/>
        <v>1447.0000000000002</v>
      </c>
      <c r="H14" s="39">
        <f t="shared" si="0"/>
        <v>1604.5989119999999</v>
      </c>
      <c r="I14" s="39">
        <f t="shared" si="0"/>
        <v>1745.7291427758726</v>
      </c>
      <c r="J14" s="39">
        <f t="shared" si="0"/>
        <v>1836.8664912649408</v>
      </c>
      <c r="K14" s="39">
        <f t="shared" si="0"/>
        <v>1952.6446486495001</v>
      </c>
      <c r="L14" s="39">
        <f t="shared" ref="L14" si="1">SUM(L2:L13)</f>
        <v>2086.5397206373009</v>
      </c>
    </row>
    <row r="15" spans="1:12" x14ac:dyDescent="0.25">
      <c r="B15" s="44"/>
      <c r="C15" s="44"/>
      <c r="D15" s="44"/>
      <c r="E15" s="44"/>
      <c r="F15" s="52"/>
      <c r="G15" s="52"/>
    </row>
    <row r="16" spans="1:12" s="3" customFormat="1" x14ac:dyDescent="0.25">
      <c r="A16" s="3" t="s">
        <v>13</v>
      </c>
      <c r="B16" s="47"/>
      <c r="C16" s="47">
        <f t="shared" ref="C16:H16" si="2">C14/12</f>
        <v>16.342500000000001</v>
      </c>
      <c r="D16" s="47">
        <f t="shared" si="2"/>
        <v>39.355258333333332</v>
      </c>
      <c r="E16" s="47">
        <f t="shared" si="2"/>
        <v>74.782499999999999</v>
      </c>
      <c r="F16" s="47">
        <f t="shared" si="2"/>
        <v>107.44333333333333</v>
      </c>
      <c r="G16" s="47">
        <f t="shared" si="2"/>
        <v>120.58333333333336</v>
      </c>
      <c r="H16" s="7">
        <f t="shared" si="2"/>
        <v>133.716576</v>
      </c>
      <c r="I16" s="7">
        <f t="shared" ref="I16:J16" si="3">I14/12</f>
        <v>145.47742856465604</v>
      </c>
      <c r="J16" s="7">
        <f t="shared" si="3"/>
        <v>153.07220760541173</v>
      </c>
      <c r="K16" s="7">
        <f t="shared" ref="K16:L16" si="4">K14/12</f>
        <v>162.72038738745835</v>
      </c>
      <c r="L16" s="7">
        <f t="shared" si="4"/>
        <v>173.87831005310841</v>
      </c>
    </row>
    <row r="17" spans="2:12" x14ac:dyDescent="0.25">
      <c r="B17" s="52"/>
      <c r="C17" s="52"/>
      <c r="D17" s="48">
        <f t="shared" ref="D17:L17" si="5">(D16-C16)/C16</f>
        <v>1.4081540971903521</v>
      </c>
      <c r="E17" s="48">
        <f t="shared" si="5"/>
        <v>0.90019080465952139</v>
      </c>
      <c r="F17" s="48">
        <f t="shared" si="5"/>
        <v>0.43674433635320203</v>
      </c>
      <c r="G17" s="48">
        <f t="shared" si="5"/>
        <v>0.12229702478826075</v>
      </c>
      <c r="H17" s="11">
        <f t="shared" si="5"/>
        <v>0.10891424464409104</v>
      </c>
      <c r="I17" s="11">
        <f t="shared" si="5"/>
        <v>8.7953587479356582E-2</v>
      </c>
      <c r="J17" s="11">
        <f t="shared" si="5"/>
        <v>5.2205892801990728E-2</v>
      </c>
      <c r="K17" s="11">
        <f t="shared" si="5"/>
        <v>6.3030251754894712E-2</v>
      </c>
      <c r="L17" s="11">
        <f t="shared" si="5"/>
        <v>6.8571141236786773E-2</v>
      </c>
    </row>
  </sheetData>
  <pageMargins left="0.7" right="0.7" top="0.75" bottom="0.75" header="0.3" footer="0.3"/>
  <pageSetup orientation="portrait" r:id="rId1"/>
  <ignoredErrors>
    <ignoredError sqref="B14:D14 E14:K1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F7" sqref="F7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64.735669655784278</v>
      </c>
      <c r="C3" s="67">
        <v>0</v>
      </c>
      <c r="D3" s="68">
        <f>'26'!M3</f>
        <v>15.523769131623768</v>
      </c>
      <c r="E3" s="67">
        <v>0</v>
      </c>
      <c r="F3" s="67">
        <v>0</v>
      </c>
      <c r="G3" s="69">
        <f>D3*1.0567</f>
        <v>16.403966841386836</v>
      </c>
      <c r="H3" s="67">
        <v>0</v>
      </c>
      <c r="I3" s="67">
        <v>0</v>
      </c>
      <c r="J3" s="68">
        <f>G3</f>
        <v>16.403966841386836</v>
      </c>
      <c r="K3" s="67">
        <v>0</v>
      </c>
      <c r="L3" s="67">
        <v>0</v>
      </c>
      <c r="M3" s="68">
        <f>J3</f>
        <v>16.403966841386836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678.6</v>
      </c>
      <c r="C4" s="68">
        <f>'26'!N4+0.54</f>
        <v>53.580000000000005</v>
      </c>
      <c r="D4" s="68">
        <f>C4+0.54</f>
        <v>54.120000000000005</v>
      </c>
      <c r="E4" s="68">
        <f t="shared" ref="E4:N4" si="4">D4+0.54</f>
        <v>54.660000000000004</v>
      </c>
      <c r="F4" s="68">
        <f t="shared" si="4"/>
        <v>55.2</v>
      </c>
      <c r="G4" s="68">
        <f t="shared" si="4"/>
        <v>55.74</v>
      </c>
      <c r="H4" s="68">
        <f t="shared" si="4"/>
        <v>56.28</v>
      </c>
      <c r="I4" s="68">
        <f t="shared" si="4"/>
        <v>56.82</v>
      </c>
      <c r="J4" s="68">
        <f t="shared" si="4"/>
        <v>57.36</v>
      </c>
      <c r="K4" s="68">
        <f t="shared" si="4"/>
        <v>57.9</v>
      </c>
      <c r="L4" s="68">
        <f t="shared" si="4"/>
        <v>58.44</v>
      </c>
      <c r="M4" s="68">
        <f t="shared" si="4"/>
        <v>58.98</v>
      </c>
      <c r="N4" s="68">
        <f t="shared" si="4"/>
        <v>59.519999999999996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5">S4/O4</f>
        <v>30.548918837647957</v>
      </c>
      <c r="S4" s="72">
        <v>2235.02</v>
      </c>
      <c r="T4" s="73">
        <f t="shared" ref="T4:T21" si="6">P4/R4</f>
        <v>8.641877030183176E-2</v>
      </c>
      <c r="U4" s="70">
        <v>1545.65</v>
      </c>
      <c r="V4" s="73">
        <f t="shared" ref="V4:V21" si="7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527.53594318847991</v>
      </c>
      <c r="C5" s="67">
        <v>0</v>
      </c>
      <c r="D5" s="67">
        <v>0</v>
      </c>
      <c r="E5" s="69">
        <f>'26'!N5*1.2</f>
        <v>131.88398579711998</v>
      </c>
      <c r="F5" s="67">
        <v>0</v>
      </c>
      <c r="G5" s="67">
        <v>0</v>
      </c>
      <c r="H5" s="68">
        <f>E5</f>
        <v>131.88398579711998</v>
      </c>
      <c r="I5" s="67">
        <v>0</v>
      </c>
      <c r="J5" s="67">
        <v>0</v>
      </c>
      <c r="K5" s="68">
        <f>H5</f>
        <v>131.88398579711998</v>
      </c>
      <c r="L5" s="67">
        <v>0</v>
      </c>
      <c r="M5" s="67">
        <v>0</v>
      </c>
      <c r="N5" s="68">
        <f>K5</f>
        <v>131.88398579711998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66.869526216511446</v>
      </c>
      <c r="C6" s="68">
        <f>'26'!L6</f>
        <v>16.387983093939674</v>
      </c>
      <c r="D6" s="67">
        <v>0</v>
      </c>
      <c r="E6" s="67">
        <v>0</v>
      </c>
      <c r="F6" s="69">
        <f>C6*1.02</f>
        <v>16.715742755818468</v>
      </c>
      <c r="G6" s="67">
        <v>0</v>
      </c>
      <c r="H6" s="67">
        <v>0</v>
      </c>
      <c r="I6" s="68">
        <f>F6</f>
        <v>16.715742755818468</v>
      </c>
      <c r="J6" s="67">
        <v>0</v>
      </c>
      <c r="K6" s="67">
        <v>0</v>
      </c>
      <c r="L6" s="69">
        <f>I6*1.02</f>
        <v>17.050057610934836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1124.4000000000001</v>
      </c>
      <c r="V6" s="73">
        <f t="shared" si="7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'26'!N7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2048.75</v>
      </c>
      <c r="V7" s="73">
        <f t="shared" si="7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147.92004963633772</v>
      </c>
      <c r="C8" s="68">
        <f>'26'!L8</f>
        <v>34.641697807104855</v>
      </c>
      <c r="D8" s="67">
        <v>0</v>
      </c>
      <c r="E8" s="67">
        <v>0</v>
      </c>
      <c r="F8" s="69">
        <f>C8*1.09</f>
        <v>37.759450609744292</v>
      </c>
      <c r="G8" s="67"/>
      <c r="H8" s="67"/>
      <c r="I8" s="68">
        <f>F8</f>
        <v>37.759450609744292</v>
      </c>
      <c r="J8" s="67"/>
      <c r="K8" s="67"/>
      <c r="L8" s="68">
        <f>I8</f>
        <v>37.759450609744292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5"/>
        <v>23.256363636363634</v>
      </c>
      <c r="S8" s="72">
        <v>1279.0999999999999</v>
      </c>
      <c r="T8" s="73">
        <f t="shared" si="6"/>
        <v>4.8743647877413816E-2</v>
      </c>
      <c r="U8" s="70">
        <v>1673.1</v>
      </c>
      <c r="V8" s="73">
        <f t="shared" si="7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'26'!N9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5"/>
        <v>12.055439994531195</v>
      </c>
      <c r="S9" s="72">
        <v>2468.9299999999998</v>
      </c>
      <c r="T9" s="73">
        <f t="shared" si="6"/>
        <v>4.9770062334695601E-2</v>
      </c>
      <c r="U9" s="70">
        <v>2508.7800000000002</v>
      </c>
      <c r="V9" s="73">
        <f t="shared" si="7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155.10800034639595</v>
      </c>
      <c r="C10" s="69">
        <f>'26'!L10*1.05</f>
        <v>38.777000086598989</v>
      </c>
      <c r="D10" s="67">
        <v>0</v>
      </c>
      <c r="E10" s="67">
        <v>0</v>
      </c>
      <c r="F10" s="68">
        <f>C10</f>
        <v>38.777000086598989</v>
      </c>
      <c r="G10" s="67">
        <v>0</v>
      </c>
      <c r="H10" s="67">
        <v>0</v>
      </c>
      <c r="I10" s="68">
        <f>F10</f>
        <v>38.777000086598989</v>
      </c>
      <c r="J10" s="67">
        <v>0</v>
      </c>
      <c r="K10" s="67">
        <v>0</v>
      </c>
      <c r="L10" s="68">
        <f>I10</f>
        <v>38.777000086598989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3170</v>
      </c>
      <c r="V10" s="73">
        <f t="shared" si="7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53.004625343636661</v>
      </c>
      <c r="C11" s="67">
        <v>0</v>
      </c>
      <c r="D11" s="69">
        <f>'26'!M11*1.0366</f>
        <v>13.251156335909165</v>
      </c>
      <c r="E11" s="67">
        <v>0</v>
      </c>
      <c r="F11" s="67">
        <v>0</v>
      </c>
      <c r="G11" s="68">
        <f>D11</f>
        <v>13.251156335909165</v>
      </c>
      <c r="H11" s="67">
        <v>0</v>
      </c>
      <c r="I11" s="67">
        <v>0</v>
      </c>
      <c r="J11" s="68">
        <f>G11</f>
        <v>13.251156335909165</v>
      </c>
      <c r="K11" s="67">
        <v>0</v>
      </c>
      <c r="L11" s="67">
        <v>0</v>
      </c>
      <c r="M11" s="68">
        <f>J11</f>
        <v>13.251156335909165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725.25</v>
      </c>
      <c r="V11" s="73">
        <f t="shared" si="7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97.522907382039591</v>
      </c>
      <c r="C12" s="67">
        <v>0</v>
      </c>
      <c r="D12" s="67">
        <v>0</v>
      </c>
      <c r="E12" s="68">
        <f>'26'!N12</f>
        <v>23.164586076493965</v>
      </c>
      <c r="F12" s="67">
        <v>0</v>
      </c>
      <c r="G12" s="67">
        <v>0</v>
      </c>
      <c r="H12" s="69">
        <f>E12*1.07</f>
        <v>24.786107101848543</v>
      </c>
      <c r="I12" s="67">
        <v>0</v>
      </c>
      <c r="J12" s="67">
        <v>0</v>
      </c>
      <c r="K12" s="68">
        <f>H12</f>
        <v>24.786107101848543</v>
      </c>
      <c r="L12" s="67">
        <v>0</v>
      </c>
      <c r="M12" s="67">
        <v>0</v>
      </c>
      <c r="N12" s="68">
        <f>K12</f>
        <v>24.786107101848543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6"/>
        <v>3.1760166221430693E-2</v>
      </c>
      <c r="U12" s="70">
        <v>1726.5</v>
      </c>
      <c r="V12" s="73">
        <f t="shared" si="7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'26'!M13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1216.5</v>
      </c>
      <c r="V13" s="73">
        <f t="shared" si="7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334.76590851642692</v>
      </c>
      <c r="C14" s="68">
        <f>'26'!N14*1.04</f>
        <v>27.788595547391761</v>
      </c>
      <c r="D14" s="68">
        <f>C14</f>
        <v>27.788595547391761</v>
      </c>
      <c r="E14" s="68">
        <f>D14</f>
        <v>27.788595547391761</v>
      </c>
      <c r="F14" s="68">
        <f>E14*1.0026</f>
        <v>27.860845895814979</v>
      </c>
      <c r="G14" s="68">
        <f>F14</f>
        <v>27.860845895814979</v>
      </c>
      <c r="H14" s="68">
        <f>G14</f>
        <v>27.860845895814979</v>
      </c>
      <c r="I14" s="68">
        <f>H14*1.0026</f>
        <v>27.933284095144096</v>
      </c>
      <c r="J14" s="68">
        <f>I14</f>
        <v>27.933284095144096</v>
      </c>
      <c r="K14" s="68">
        <f>J14</f>
        <v>27.933284095144096</v>
      </c>
      <c r="L14" s="68">
        <f>K14*1.0026</f>
        <v>28.005910633791469</v>
      </c>
      <c r="M14" s="68">
        <f>L14</f>
        <v>28.005910633791469</v>
      </c>
      <c r="N14" s="68">
        <f>M14</f>
        <v>28.005910633791469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6"/>
        <v>6.4042266958263191E-2</v>
      </c>
      <c r="U14" s="70">
        <v>4629.72</v>
      </c>
      <c r="V14" s="73">
        <f t="shared" si="7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100.71814949322579</v>
      </c>
      <c r="C15" s="67">
        <v>0</v>
      </c>
      <c r="D15" s="67">
        <v>0</v>
      </c>
      <c r="E15" s="88">
        <f>'26'!N15*1.07</f>
        <v>25.179537373306449</v>
      </c>
      <c r="F15" s="67">
        <v>0</v>
      </c>
      <c r="G15" s="67">
        <v>0</v>
      </c>
      <c r="H15" s="68">
        <f>E15</f>
        <v>25.179537373306449</v>
      </c>
      <c r="I15" s="67">
        <v>0</v>
      </c>
      <c r="J15" s="67">
        <v>0</v>
      </c>
      <c r="K15" s="68">
        <f>H15</f>
        <v>25.179537373306449</v>
      </c>
      <c r="L15" s="67">
        <v>0</v>
      </c>
      <c r="M15" s="67">
        <v>0</v>
      </c>
      <c r="N15" s="68">
        <f>K15</f>
        <v>25.179537373306449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1294</v>
      </c>
      <c r="V15" s="73">
        <f t="shared" si="7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78.160703215643835</v>
      </c>
      <c r="C16" s="68">
        <f>'26'!L16</f>
        <v>19.442960998916377</v>
      </c>
      <c r="D16" s="70">
        <v>0</v>
      </c>
      <c r="E16" s="70">
        <v>0</v>
      </c>
      <c r="F16" s="68">
        <f>C16</f>
        <v>19.442960998916377</v>
      </c>
      <c r="G16" s="70">
        <v>0</v>
      </c>
      <c r="H16" s="70">
        <v>0</v>
      </c>
      <c r="I16" s="68">
        <f>F16</f>
        <v>19.442960998916377</v>
      </c>
      <c r="J16" s="70">
        <v>0</v>
      </c>
      <c r="K16" s="70">
        <v>0</v>
      </c>
      <c r="L16" s="69">
        <f>I16*1.02</f>
        <v>19.831820218894705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1394.38</v>
      </c>
      <c r="V16" s="73">
        <f t="shared" si="7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179.97233616802589</v>
      </c>
      <c r="C17" s="70">
        <v>0</v>
      </c>
      <c r="D17" s="69">
        <f>'26'!M17*1.02</f>
        <v>44.993084042006473</v>
      </c>
      <c r="E17" s="70">
        <v>0</v>
      </c>
      <c r="F17" s="67">
        <v>0</v>
      </c>
      <c r="G17" s="68">
        <f>D17</f>
        <v>44.993084042006473</v>
      </c>
      <c r="H17" s="67">
        <v>0</v>
      </c>
      <c r="I17" s="67">
        <v>0</v>
      </c>
      <c r="J17" s="68">
        <f>G17</f>
        <v>44.993084042006473</v>
      </c>
      <c r="K17" s="67">
        <v>0</v>
      </c>
      <c r="L17" s="67">
        <v>0</v>
      </c>
      <c r="M17" s="68">
        <f>J17</f>
        <v>44.993084042006473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3007.88</v>
      </c>
      <c r="V17" s="73">
        <f t="shared" si="7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85.754321122860432</v>
      </c>
      <c r="C18" s="68">
        <f>'26'!L18</f>
        <v>20.663691836833838</v>
      </c>
      <c r="D18" s="67">
        <v>0</v>
      </c>
      <c r="E18" s="70">
        <v>0</v>
      </c>
      <c r="F18" s="69">
        <f>C18*1.05</f>
        <v>21.69687642867553</v>
      </c>
      <c r="G18" s="67">
        <v>0</v>
      </c>
      <c r="H18" s="67">
        <v>0</v>
      </c>
      <c r="I18" s="68">
        <f>F18</f>
        <v>21.69687642867553</v>
      </c>
      <c r="J18" s="67">
        <v>0</v>
      </c>
      <c r="K18" s="67">
        <v>0</v>
      </c>
      <c r="L18" s="68">
        <f>I18</f>
        <v>21.69687642867553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6"/>
        <v>4.0757396449704143E-2</v>
      </c>
      <c r="U18" s="70">
        <v>1485</v>
      </c>
      <c r="V18" s="73">
        <f t="shared" si="7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246.15855599860708</v>
      </c>
      <c r="C19" s="70">
        <v>0</v>
      </c>
      <c r="D19" s="70">
        <v>0</v>
      </c>
      <c r="E19" s="69">
        <f>'26'!N19*1.05</f>
        <v>61.539638999651771</v>
      </c>
      <c r="F19" s="70">
        <v>0</v>
      </c>
      <c r="G19" s="70">
        <v>0</v>
      </c>
      <c r="H19" s="68">
        <f>E19</f>
        <v>61.539638999651771</v>
      </c>
      <c r="I19" s="70">
        <v>0</v>
      </c>
      <c r="J19" s="70">
        <v>0</v>
      </c>
      <c r="K19" s="68">
        <f>H19</f>
        <v>61.539638999651771</v>
      </c>
      <c r="L19" s="70">
        <v>0</v>
      </c>
      <c r="M19" s="70">
        <v>0</v>
      </c>
      <c r="N19" s="68">
        <f>K19</f>
        <v>61.539638999651771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6"/>
        <v>3.5362465269007319E-2</v>
      </c>
      <c r="U19" s="70">
        <v>4027</v>
      </c>
      <c r="V19" s="73">
        <f t="shared" si="7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97.857783863924794</v>
      </c>
      <c r="C20" s="70">
        <v>0</v>
      </c>
      <c r="D20" s="70">
        <v>0</v>
      </c>
      <c r="E20" s="68">
        <f>'26'!N20</f>
        <v>23.580188882873443</v>
      </c>
      <c r="F20" s="70">
        <v>0</v>
      </c>
      <c r="G20" s="70">
        <v>0</v>
      </c>
      <c r="H20" s="69">
        <f>E20*1.05</f>
        <v>24.759198327017117</v>
      </c>
      <c r="I20" s="70">
        <v>0</v>
      </c>
      <c r="J20" s="70">
        <v>0</v>
      </c>
      <c r="K20" s="68">
        <f>H20</f>
        <v>24.759198327017117</v>
      </c>
      <c r="L20" s="70">
        <v>0</v>
      </c>
      <c r="M20" s="70">
        <v>0</v>
      </c>
      <c r="N20" s="68">
        <f>K20</f>
        <v>24.759198327017117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74.359039712390199</v>
      </c>
      <c r="C21" s="70">
        <v>0</v>
      </c>
      <c r="D21" s="70">
        <v>0</v>
      </c>
      <c r="E21" s="68">
        <f>'26'!N21</f>
        <v>17.917840894551858</v>
      </c>
      <c r="F21" s="70">
        <v>0</v>
      </c>
      <c r="G21" s="70">
        <v>0</v>
      </c>
      <c r="H21" s="69">
        <f>E21*1.05</f>
        <v>18.813732939279451</v>
      </c>
      <c r="I21" s="70">
        <v>0</v>
      </c>
      <c r="J21" s="70">
        <v>0</v>
      </c>
      <c r="K21" s="68">
        <f>H21</f>
        <v>18.813732939279451</v>
      </c>
      <c r="L21" s="70">
        <v>0</v>
      </c>
      <c r="M21" s="70">
        <v>0</v>
      </c>
      <c r="N21" s="68">
        <f>K21</f>
        <v>18.813732939279451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1354.5</v>
      </c>
      <c r="V21" s="73">
        <f t="shared" si="7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8">SUM(B3:B21)</f>
        <v>3272.1635198602908</v>
      </c>
      <c r="C23" s="79">
        <f t="shared" si="8"/>
        <v>211.28192937078546</v>
      </c>
      <c r="D23" s="79">
        <f t="shared" si="8"/>
        <v>163.01660505693118</v>
      </c>
      <c r="E23" s="79">
        <f t="shared" si="8"/>
        <v>429.15437357138933</v>
      </c>
      <c r="F23" s="79">
        <f t="shared" si="8"/>
        <v>217.4528767755686</v>
      </c>
      <c r="G23" s="79">
        <f t="shared" si="8"/>
        <v>165.58905311511745</v>
      </c>
      <c r="H23" s="79">
        <f t="shared" si="8"/>
        <v>434.54304643403827</v>
      </c>
      <c r="I23" s="79">
        <f t="shared" si="8"/>
        <v>219.14531497489776</v>
      </c>
      <c r="J23" s="79">
        <f t="shared" si="8"/>
        <v>167.28149131444658</v>
      </c>
      <c r="K23" s="79">
        <f t="shared" si="8"/>
        <v>436.23548463336738</v>
      </c>
      <c r="L23" s="79">
        <f t="shared" si="8"/>
        <v>221.56111558863981</v>
      </c>
      <c r="M23" s="79">
        <f t="shared" si="8"/>
        <v>168.97411785309396</v>
      </c>
      <c r="N23" s="79">
        <f t="shared" si="8"/>
        <v>437.92811117201472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8.2920130766526629E-2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2026</v>
      </c>
      <c r="B25" s="70">
        <f>SUM(C25:N25)</f>
        <v>3022.8495190958042</v>
      </c>
      <c r="C25" s="68">
        <f>'26'!C23</f>
        <v>197.03736914760779</v>
      </c>
      <c r="D25" s="68">
        <f>'26'!D23</f>
        <v>153.2774234549025</v>
      </c>
      <c r="E25" s="68">
        <f>'26'!E23</f>
        <v>391.52832642503677</v>
      </c>
      <c r="F25" s="68">
        <f>'26'!F23</f>
        <v>202.8256429169206</v>
      </c>
      <c r="G25" s="68">
        <f>'26'!G23</f>
        <v>155.73932427316203</v>
      </c>
      <c r="H25" s="68">
        <f>'26'!H23</f>
        <v>396.64879570857249</v>
      </c>
      <c r="I25" s="68">
        <f>'26'!I23</f>
        <v>204.45475455806047</v>
      </c>
      <c r="J25" s="68">
        <f>'26'!J23</f>
        <v>157.3684359143019</v>
      </c>
      <c r="K25" s="68">
        <f>'26'!K23</f>
        <v>398.27790734971245</v>
      </c>
      <c r="L25" s="68">
        <f>'26'!L23</f>
        <v>206.78661342069978</v>
      </c>
      <c r="M25" s="68">
        <f>'26'!M23</f>
        <v>158.99772724570875</v>
      </c>
      <c r="N25" s="68">
        <f>'26'!N23</f>
        <v>399.90719868111921</v>
      </c>
      <c r="T25" s="84"/>
    </row>
    <row r="26" spans="1:25" x14ac:dyDescent="0.2">
      <c r="A26" s="83" t="s">
        <v>40</v>
      </c>
      <c r="B26" s="73">
        <f t="shared" ref="B26:N26" si="9">(B23-B25)/B25</f>
        <v>8.2476484254188548E-2</v>
      </c>
      <c r="C26" s="73">
        <f t="shared" si="9"/>
        <v>7.2293698828807235E-2</v>
      </c>
      <c r="D26" s="73">
        <f t="shared" si="9"/>
        <v>6.3539570163078554E-2</v>
      </c>
      <c r="E26" s="73">
        <f t="shared" si="9"/>
        <v>9.6100446907400355E-2</v>
      </c>
      <c r="F26" s="73">
        <f t="shared" si="9"/>
        <v>7.2117280873796902E-2</v>
      </c>
      <c r="G26" s="73">
        <f t="shared" si="9"/>
        <v>6.3244969682026489E-2</v>
      </c>
      <c r="H26" s="73">
        <f t="shared" si="9"/>
        <v>9.5536028686968727E-2</v>
      </c>
      <c r="I26" s="73">
        <f t="shared" si="9"/>
        <v>7.1852378530358432E-2</v>
      </c>
      <c r="J26" s="73">
        <f t="shared" si="9"/>
        <v>6.2992653784416056E-2</v>
      </c>
      <c r="K26" s="73">
        <f t="shared" si="9"/>
        <v>9.5304250080649952E-2</v>
      </c>
      <c r="L26" s="73">
        <f t="shared" si="9"/>
        <v>7.1448059057294219E-2</v>
      </c>
      <c r="M26" s="73">
        <f t="shared" si="9"/>
        <v>6.2745491902334527E-2</v>
      </c>
      <c r="N26" s="73">
        <f t="shared" si="9"/>
        <v>9.5074338787316734E-2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F7" sqref="F7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68.40618212526725</v>
      </c>
      <c r="C3" s="67">
        <v>0</v>
      </c>
      <c r="D3" s="68">
        <f>'27'!M3</f>
        <v>16.403966841386836</v>
      </c>
      <c r="E3" s="67">
        <v>0</v>
      </c>
      <c r="F3" s="67">
        <v>0</v>
      </c>
      <c r="G3" s="69">
        <f>D3*1.0567</f>
        <v>17.334071761293469</v>
      </c>
      <c r="H3" s="67">
        <v>0</v>
      </c>
      <c r="I3" s="67">
        <v>0</v>
      </c>
      <c r="J3" s="68">
        <f>G3</f>
        <v>17.334071761293469</v>
      </c>
      <c r="K3" s="67">
        <v>0</v>
      </c>
      <c r="L3" s="67">
        <v>0</v>
      </c>
      <c r="M3" s="68">
        <f>J3</f>
        <v>17.334071761293469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761.04</v>
      </c>
      <c r="C4" s="68">
        <f>'27'!N4+0.6</f>
        <v>60.12</v>
      </c>
      <c r="D4" s="68">
        <f>C4+0.6</f>
        <v>60.72</v>
      </c>
      <c r="E4" s="68">
        <f t="shared" ref="E4:N4" si="4">D4+0.6</f>
        <v>61.32</v>
      </c>
      <c r="F4" s="68">
        <f t="shared" si="4"/>
        <v>61.92</v>
      </c>
      <c r="G4" s="68">
        <f t="shared" si="4"/>
        <v>62.52</v>
      </c>
      <c r="H4" s="68">
        <f t="shared" si="4"/>
        <v>63.120000000000005</v>
      </c>
      <c r="I4" s="68">
        <f t="shared" si="4"/>
        <v>63.720000000000006</v>
      </c>
      <c r="J4" s="68">
        <f t="shared" si="4"/>
        <v>64.320000000000007</v>
      </c>
      <c r="K4" s="68">
        <f t="shared" si="4"/>
        <v>64.92</v>
      </c>
      <c r="L4" s="68">
        <f t="shared" si="4"/>
        <v>65.52</v>
      </c>
      <c r="M4" s="68">
        <f t="shared" si="4"/>
        <v>66.11999999999999</v>
      </c>
      <c r="N4" s="68">
        <f t="shared" si="4"/>
        <v>66.719999999999985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5">S4/O4</f>
        <v>30.548918837647957</v>
      </c>
      <c r="S4" s="72">
        <v>2235.02</v>
      </c>
      <c r="T4" s="73">
        <f t="shared" ref="T4:T21" si="6">P4/R4</f>
        <v>8.641877030183176E-2</v>
      </c>
      <c r="U4" s="70">
        <v>1545.65</v>
      </c>
      <c r="V4" s="73">
        <f t="shared" ref="V4:V21" si="7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633.04313182617591</v>
      </c>
      <c r="C5" s="67">
        <v>0</v>
      </c>
      <c r="D5" s="67">
        <v>0</v>
      </c>
      <c r="E5" s="69">
        <f>'27'!N5*1.2</f>
        <v>158.26078295654398</v>
      </c>
      <c r="F5" s="67">
        <v>0</v>
      </c>
      <c r="G5" s="67">
        <v>0</v>
      </c>
      <c r="H5" s="68">
        <f>E5</f>
        <v>158.26078295654398</v>
      </c>
      <c r="I5" s="67">
        <v>0</v>
      </c>
      <c r="J5" s="67">
        <v>0</v>
      </c>
      <c r="K5" s="68">
        <f>H5</f>
        <v>158.26078295654398</v>
      </c>
      <c r="L5" s="67">
        <v>0</v>
      </c>
      <c r="M5" s="67">
        <v>0</v>
      </c>
      <c r="N5" s="68">
        <f>K5</f>
        <v>158.26078295654398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69.571055075658506</v>
      </c>
      <c r="C6" s="68">
        <f>'27'!L6</f>
        <v>17.050057610934836</v>
      </c>
      <c r="D6" s="67">
        <v>0</v>
      </c>
      <c r="E6" s="67">
        <v>0</v>
      </c>
      <c r="F6" s="69">
        <f>C6*1.02</f>
        <v>17.391058763153534</v>
      </c>
      <c r="G6" s="67">
        <v>0</v>
      </c>
      <c r="H6" s="67">
        <v>0</v>
      </c>
      <c r="I6" s="68">
        <f>F6</f>
        <v>17.391058763153534</v>
      </c>
      <c r="J6" s="67">
        <v>0</v>
      </c>
      <c r="K6" s="67">
        <v>0</v>
      </c>
      <c r="L6" s="69">
        <f>I6*1.02</f>
        <v>17.738879938416606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1124.4000000000001</v>
      </c>
      <c r="V6" s="73">
        <f t="shared" si="7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'27'!N7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2048.75</v>
      </c>
      <c r="V7" s="73">
        <f t="shared" si="7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161.23285410360813</v>
      </c>
      <c r="C8" s="68">
        <f>'27'!L8</f>
        <v>37.759450609744292</v>
      </c>
      <c r="D8" s="67">
        <v>0</v>
      </c>
      <c r="E8" s="67">
        <v>0</v>
      </c>
      <c r="F8" s="69">
        <f>C8*1.09</f>
        <v>41.157801164621283</v>
      </c>
      <c r="G8" s="67"/>
      <c r="H8" s="67"/>
      <c r="I8" s="68">
        <f>F8</f>
        <v>41.157801164621283</v>
      </c>
      <c r="J8" s="67"/>
      <c r="K8" s="67"/>
      <c r="L8" s="68">
        <f>I8</f>
        <v>41.157801164621283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5"/>
        <v>23.256363636363634</v>
      </c>
      <c r="S8" s="72">
        <v>1279.0999999999999</v>
      </c>
      <c r="T8" s="73">
        <f t="shared" si="6"/>
        <v>4.8743647877413816E-2</v>
      </c>
      <c r="U8" s="70">
        <v>1673.1</v>
      </c>
      <c r="V8" s="73">
        <f t="shared" si="7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'27'!N9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5"/>
        <v>12.055439994531195</v>
      </c>
      <c r="S9" s="72">
        <v>2468.9299999999998</v>
      </c>
      <c r="T9" s="73">
        <f t="shared" si="6"/>
        <v>4.9770062334695601E-2</v>
      </c>
      <c r="U9" s="70">
        <v>2508.7800000000002</v>
      </c>
      <c r="V9" s="73">
        <f t="shared" si="7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162.86340036371575</v>
      </c>
      <c r="C10" s="69">
        <f>'27'!L10*1.05</f>
        <v>40.715850090928939</v>
      </c>
      <c r="D10" s="67">
        <v>0</v>
      </c>
      <c r="E10" s="67">
        <v>0</v>
      </c>
      <c r="F10" s="68">
        <f>C10</f>
        <v>40.715850090928939</v>
      </c>
      <c r="G10" s="67">
        <v>0</v>
      </c>
      <c r="H10" s="67">
        <v>0</v>
      </c>
      <c r="I10" s="68">
        <f>F10</f>
        <v>40.715850090928939</v>
      </c>
      <c r="J10" s="67">
        <v>0</v>
      </c>
      <c r="K10" s="67">
        <v>0</v>
      </c>
      <c r="L10" s="68">
        <f>I10</f>
        <v>40.715850090928939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3170</v>
      </c>
      <c r="V10" s="73">
        <f t="shared" si="7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54.944594631213761</v>
      </c>
      <c r="C11" s="67">
        <v>0</v>
      </c>
      <c r="D11" s="69">
        <f>'27'!M11*1.0366</f>
        <v>13.73614865780344</v>
      </c>
      <c r="E11" s="67">
        <v>0</v>
      </c>
      <c r="F11" s="67">
        <v>0</v>
      </c>
      <c r="G11" s="68">
        <f>D11</f>
        <v>13.73614865780344</v>
      </c>
      <c r="H11" s="67">
        <v>0</v>
      </c>
      <c r="I11" s="67">
        <v>0</v>
      </c>
      <c r="J11" s="68">
        <f>G11</f>
        <v>13.73614865780344</v>
      </c>
      <c r="K11" s="67">
        <v>0</v>
      </c>
      <c r="L11" s="67">
        <v>0</v>
      </c>
      <c r="M11" s="68">
        <f>J11</f>
        <v>13.73614865780344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725.25</v>
      </c>
      <c r="V11" s="73">
        <f t="shared" si="7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104.34951089878237</v>
      </c>
      <c r="C12" s="67">
        <v>0</v>
      </c>
      <c r="D12" s="67">
        <v>0</v>
      </c>
      <c r="E12" s="68">
        <f>'27'!N12</f>
        <v>24.786107101848543</v>
      </c>
      <c r="F12" s="67">
        <v>0</v>
      </c>
      <c r="G12" s="67">
        <v>0</v>
      </c>
      <c r="H12" s="69">
        <f>E12*1.07</f>
        <v>26.521134598977945</v>
      </c>
      <c r="I12" s="67">
        <v>0</v>
      </c>
      <c r="J12" s="67">
        <v>0</v>
      </c>
      <c r="K12" s="68">
        <f>H12</f>
        <v>26.521134598977945</v>
      </c>
      <c r="L12" s="67">
        <v>0</v>
      </c>
      <c r="M12" s="67">
        <v>0</v>
      </c>
      <c r="N12" s="68">
        <f>K12</f>
        <v>26.521134598977945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6"/>
        <v>3.1760166221430693E-2</v>
      </c>
      <c r="U12" s="70">
        <v>1726.5</v>
      </c>
      <c r="V12" s="73">
        <f t="shared" si="7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'27'!M13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1216.5</v>
      </c>
      <c r="V13" s="73">
        <f t="shared" si="7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350.87923264089824</v>
      </c>
      <c r="C14" s="68">
        <f>'27'!N14*1.04</f>
        <v>29.126147059143129</v>
      </c>
      <c r="D14" s="68">
        <f>C14</f>
        <v>29.126147059143129</v>
      </c>
      <c r="E14" s="68">
        <f>D14</f>
        <v>29.126147059143129</v>
      </c>
      <c r="F14" s="68">
        <f>E14*1.0026</f>
        <v>29.201875041496898</v>
      </c>
      <c r="G14" s="68">
        <f>F14</f>
        <v>29.201875041496898</v>
      </c>
      <c r="H14" s="68">
        <f>G14</f>
        <v>29.201875041496898</v>
      </c>
      <c r="I14" s="68">
        <f>H14*1.0026</f>
        <v>29.277799916604788</v>
      </c>
      <c r="J14" s="68">
        <f>I14</f>
        <v>29.277799916604788</v>
      </c>
      <c r="K14" s="68">
        <f>J14</f>
        <v>29.277799916604788</v>
      </c>
      <c r="L14" s="68">
        <f>K14*1.0026</f>
        <v>29.353922196387959</v>
      </c>
      <c r="M14" s="68">
        <f>L14</f>
        <v>29.353922196387959</v>
      </c>
      <c r="N14" s="68">
        <f>M14</f>
        <v>29.353922196387959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6"/>
        <v>6.4042266958263191E-2</v>
      </c>
      <c r="U14" s="70">
        <v>4629.72</v>
      </c>
      <c r="V14" s="73">
        <f t="shared" si="7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107.7684199577516</v>
      </c>
      <c r="C15" s="67">
        <v>0</v>
      </c>
      <c r="D15" s="67">
        <v>0</v>
      </c>
      <c r="E15" s="88">
        <f>'27'!N15*1.07</f>
        <v>26.942104989437901</v>
      </c>
      <c r="F15" s="67">
        <v>0</v>
      </c>
      <c r="G15" s="67">
        <v>0</v>
      </c>
      <c r="H15" s="68">
        <f>E15</f>
        <v>26.942104989437901</v>
      </c>
      <c r="I15" s="67">
        <v>0</v>
      </c>
      <c r="J15" s="67">
        <v>0</v>
      </c>
      <c r="K15" s="68">
        <f>H15</f>
        <v>26.942104989437901</v>
      </c>
      <c r="L15" s="67">
        <v>0</v>
      </c>
      <c r="M15" s="67">
        <v>0</v>
      </c>
      <c r="N15" s="68">
        <f>K15</f>
        <v>26.942104989437901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1294</v>
      </c>
      <c r="V15" s="73">
        <f t="shared" si="7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79.723917279956709</v>
      </c>
      <c r="C16" s="68">
        <f>'27'!L16</f>
        <v>19.831820218894705</v>
      </c>
      <c r="D16" s="70">
        <v>0</v>
      </c>
      <c r="E16" s="70">
        <v>0</v>
      </c>
      <c r="F16" s="68">
        <f>C16</f>
        <v>19.831820218894705</v>
      </c>
      <c r="G16" s="70">
        <v>0</v>
      </c>
      <c r="H16" s="70">
        <v>0</v>
      </c>
      <c r="I16" s="68">
        <f>F16</f>
        <v>19.831820218894705</v>
      </c>
      <c r="J16" s="70">
        <v>0</v>
      </c>
      <c r="K16" s="70">
        <v>0</v>
      </c>
      <c r="L16" s="69">
        <f>I16*1.02</f>
        <v>20.228456623272599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1394.38</v>
      </c>
      <c r="V16" s="73">
        <f t="shared" si="7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183.57178289138642</v>
      </c>
      <c r="C17" s="70">
        <v>0</v>
      </c>
      <c r="D17" s="69">
        <f>'27'!M17*1.02</f>
        <v>45.892945722846605</v>
      </c>
      <c r="E17" s="70">
        <v>0</v>
      </c>
      <c r="F17" s="67">
        <v>0</v>
      </c>
      <c r="G17" s="68">
        <f>D17</f>
        <v>45.892945722846605</v>
      </c>
      <c r="H17" s="67">
        <v>0</v>
      </c>
      <c r="I17" s="67">
        <v>0</v>
      </c>
      <c r="J17" s="68">
        <f>G17</f>
        <v>45.892945722846605</v>
      </c>
      <c r="K17" s="67">
        <v>0</v>
      </c>
      <c r="L17" s="67">
        <v>0</v>
      </c>
      <c r="M17" s="68">
        <f>J17</f>
        <v>45.892945722846605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3007.88</v>
      </c>
      <c r="V17" s="73">
        <f t="shared" si="7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90.042037179003472</v>
      </c>
      <c r="C18" s="68">
        <f>'27'!L18</f>
        <v>21.69687642867553</v>
      </c>
      <c r="D18" s="67">
        <v>0</v>
      </c>
      <c r="E18" s="70">
        <v>0</v>
      </c>
      <c r="F18" s="69">
        <f>C18*1.05</f>
        <v>22.781720250109309</v>
      </c>
      <c r="G18" s="67">
        <v>0</v>
      </c>
      <c r="H18" s="67">
        <v>0</v>
      </c>
      <c r="I18" s="68">
        <f>F18</f>
        <v>22.781720250109309</v>
      </c>
      <c r="J18" s="67">
        <v>0</v>
      </c>
      <c r="K18" s="67">
        <v>0</v>
      </c>
      <c r="L18" s="68">
        <f>I18</f>
        <v>22.781720250109309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6"/>
        <v>4.0757396449704143E-2</v>
      </c>
      <c r="U18" s="70">
        <v>1485</v>
      </c>
      <c r="V18" s="73">
        <f t="shared" si="7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258.46648379853747</v>
      </c>
      <c r="C19" s="70">
        <v>0</v>
      </c>
      <c r="D19" s="70">
        <v>0</v>
      </c>
      <c r="E19" s="69">
        <f>'27'!N19*1.05</f>
        <v>64.616620949634367</v>
      </c>
      <c r="F19" s="70">
        <v>0</v>
      </c>
      <c r="G19" s="70">
        <v>0</v>
      </c>
      <c r="H19" s="68">
        <f>E19</f>
        <v>64.616620949634367</v>
      </c>
      <c r="I19" s="70">
        <v>0</v>
      </c>
      <c r="J19" s="70">
        <v>0</v>
      </c>
      <c r="K19" s="68">
        <f>H19</f>
        <v>64.616620949634367</v>
      </c>
      <c r="L19" s="70">
        <v>0</v>
      </c>
      <c r="M19" s="70">
        <v>0</v>
      </c>
      <c r="N19" s="68">
        <f>K19</f>
        <v>64.616620949634367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6"/>
        <v>3.5362465269007319E-2</v>
      </c>
      <c r="U19" s="70">
        <v>4027</v>
      </c>
      <c r="V19" s="73">
        <f t="shared" si="7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102.75067305712105</v>
      </c>
      <c r="C20" s="70">
        <v>0</v>
      </c>
      <c r="D20" s="70">
        <v>0</v>
      </c>
      <c r="E20" s="68">
        <f>'27'!N20</f>
        <v>24.759198327017117</v>
      </c>
      <c r="F20" s="70">
        <v>0</v>
      </c>
      <c r="G20" s="70">
        <v>0</v>
      </c>
      <c r="H20" s="69">
        <f>E20*1.05</f>
        <v>25.997158243367974</v>
      </c>
      <c r="I20" s="70">
        <v>0</v>
      </c>
      <c r="J20" s="70">
        <v>0</v>
      </c>
      <c r="K20" s="68">
        <f>H20</f>
        <v>25.997158243367974</v>
      </c>
      <c r="L20" s="70">
        <v>0</v>
      </c>
      <c r="M20" s="70">
        <v>0</v>
      </c>
      <c r="N20" s="68">
        <f>K20</f>
        <v>25.997158243367974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78.076991698009721</v>
      </c>
      <c r="C21" s="70">
        <v>0</v>
      </c>
      <c r="D21" s="70">
        <v>0</v>
      </c>
      <c r="E21" s="68">
        <f>'27'!N21</f>
        <v>18.813732939279451</v>
      </c>
      <c r="F21" s="70">
        <v>0</v>
      </c>
      <c r="G21" s="70">
        <v>0</v>
      </c>
      <c r="H21" s="69">
        <f>E21*1.05</f>
        <v>19.754419586243422</v>
      </c>
      <c r="I21" s="70">
        <v>0</v>
      </c>
      <c r="J21" s="70">
        <v>0</v>
      </c>
      <c r="K21" s="68">
        <f>H21</f>
        <v>19.754419586243422</v>
      </c>
      <c r="L21" s="70">
        <v>0</v>
      </c>
      <c r="M21" s="70">
        <v>0</v>
      </c>
      <c r="N21" s="68">
        <f>K21</f>
        <v>19.754419586243422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1354.5</v>
      </c>
      <c r="V21" s="73">
        <f t="shared" si="7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8">SUM(B3:B21)</f>
        <v>3549.8502675270865</v>
      </c>
      <c r="C23" s="79">
        <f t="shared" si="8"/>
        <v>226.30020201832141</v>
      </c>
      <c r="D23" s="79">
        <f t="shared" si="8"/>
        <v>173.21920828118002</v>
      </c>
      <c r="E23" s="79">
        <f t="shared" si="8"/>
        <v>472.06469432290442</v>
      </c>
      <c r="F23" s="79">
        <f t="shared" si="8"/>
        <v>233.00012552920467</v>
      </c>
      <c r="G23" s="79">
        <f t="shared" si="8"/>
        <v>176.02504118344041</v>
      </c>
      <c r="H23" s="79">
        <f t="shared" si="8"/>
        <v>477.8540963657025</v>
      </c>
      <c r="I23" s="79">
        <f t="shared" si="8"/>
        <v>234.87605040431256</v>
      </c>
      <c r="J23" s="79">
        <f t="shared" si="8"/>
        <v>177.90096605854831</v>
      </c>
      <c r="K23" s="79">
        <f t="shared" si="8"/>
        <v>479.73002124081034</v>
      </c>
      <c r="L23" s="79">
        <f t="shared" si="8"/>
        <v>237.49663026373671</v>
      </c>
      <c r="M23" s="79">
        <f t="shared" si="8"/>
        <v>179.77708833833148</v>
      </c>
      <c r="N23" s="79">
        <f t="shared" si="8"/>
        <v>481.60614352059355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8.995701058286458E-2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2027</v>
      </c>
      <c r="B25" s="70">
        <f>SUM(C25:N25)</f>
        <v>3272.1635198602908</v>
      </c>
      <c r="C25" s="68">
        <f>'27'!C23</f>
        <v>211.28192937078546</v>
      </c>
      <c r="D25" s="68">
        <f>'27'!D23</f>
        <v>163.01660505693118</v>
      </c>
      <c r="E25" s="68">
        <f>'27'!E23</f>
        <v>429.15437357138933</v>
      </c>
      <c r="F25" s="68">
        <f>'27'!F23</f>
        <v>217.4528767755686</v>
      </c>
      <c r="G25" s="68">
        <f>'27'!G23</f>
        <v>165.58905311511745</v>
      </c>
      <c r="H25" s="68">
        <f>'27'!H23</f>
        <v>434.54304643403827</v>
      </c>
      <c r="I25" s="68">
        <f>'27'!I23</f>
        <v>219.14531497489776</v>
      </c>
      <c r="J25" s="68">
        <f>'27'!J23</f>
        <v>167.28149131444658</v>
      </c>
      <c r="K25" s="68">
        <f>'27'!K23</f>
        <v>436.23548463336738</v>
      </c>
      <c r="L25" s="68">
        <f>'27'!L23</f>
        <v>221.56111558863981</v>
      </c>
      <c r="M25" s="68">
        <f>'27'!M23</f>
        <v>168.97411785309396</v>
      </c>
      <c r="N25" s="68">
        <f>'27'!N23</f>
        <v>437.92811117201472</v>
      </c>
      <c r="T25" s="84"/>
    </row>
    <row r="26" spans="1:25" x14ac:dyDescent="0.2">
      <c r="A26" s="83" t="s">
        <v>40</v>
      </c>
      <c r="B26" s="73">
        <f t="shared" ref="B26:N26" si="9">(B23-B25)/B25</f>
        <v>8.4863346828905409E-2</v>
      </c>
      <c r="C26" s="73">
        <f t="shared" si="9"/>
        <v>7.1081671263896404E-2</v>
      </c>
      <c r="D26" s="73">
        <f t="shared" si="9"/>
        <v>6.2586282058111328E-2</v>
      </c>
      <c r="E26" s="73">
        <f t="shared" si="9"/>
        <v>9.998807747062842E-2</v>
      </c>
      <c r="F26" s="73">
        <f t="shared" si="9"/>
        <v>7.1497093918340124E-2</v>
      </c>
      <c r="G26" s="73">
        <f t="shared" si="9"/>
        <v>6.3023417744093632E-2</v>
      </c>
      <c r="H26" s="73">
        <f t="shared" si="9"/>
        <v>9.9670332518457763E-2</v>
      </c>
      <c r="I26" s="73">
        <f t="shared" si="9"/>
        <v>7.1782211868032408E-2</v>
      </c>
      <c r="J26" s="73">
        <f t="shared" si="9"/>
        <v>6.3482664224578295E-2</v>
      </c>
      <c r="K26" s="73">
        <f t="shared" si="9"/>
        <v>9.9704260977297163E-2</v>
      </c>
      <c r="L26" s="73">
        <f t="shared" si="9"/>
        <v>7.1923787857628776E-2</v>
      </c>
      <c r="M26" s="73">
        <f t="shared" si="9"/>
        <v>6.3932693494690246E-2</v>
      </c>
      <c r="N26" s="73">
        <f t="shared" si="9"/>
        <v>9.9737904999257831E-2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M6" sqref="M6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72.284812651769897</v>
      </c>
      <c r="C3" s="67">
        <v>0</v>
      </c>
      <c r="D3" s="68">
        <f>'28'!M3</f>
        <v>17.334071761293469</v>
      </c>
      <c r="E3" s="67">
        <v>0</v>
      </c>
      <c r="F3" s="67">
        <v>0</v>
      </c>
      <c r="G3" s="69">
        <f>D3*1.0567</f>
        <v>18.316913630158808</v>
      </c>
      <c r="H3" s="67">
        <v>0</v>
      </c>
      <c r="I3" s="67">
        <v>0</v>
      </c>
      <c r="J3" s="68">
        <f>G3</f>
        <v>18.316913630158808</v>
      </c>
      <c r="K3" s="67">
        <v>0</v>
      </c>
      <c r="L3" s="67">
        <v>0</v>
      </c>
      <c r="M3" s="68">
        <f>J3</f>
        <v>18.316913630158808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851.34000000000026</v>
      </c>
      <c r="C4" s="68">
        <f>'28'!N4+0.65</f>
        <v>67.36999999999999</v>
      </c>
      <c r="D4" s="68">
        <f>C4+0.65</f>
        <v>68.02</v>
      </c>
      <c r="E4" s="68">
        <f t="shared" ref="E4:N4" si="4">D4+0.65</f>
        <v>68.67</v>
      </c>
      <c r="F4" s="68">
        <f t="shared" si="4"/>
        <v>69.320000000000007</v>
      </c>
      <c r="G4" s="68">
        <f t="shared" si="4"/>
        <v>69.970000000000013</v>
      </c>
      <c r="H4" s="68">
        <f t="shared" si="4"/>
        <v>70.620000000000019</v>
      </c>
      <c r="I4" s="68">
        <f t="shared" si="4"/>
        <v>71.270000000000024</v>
      </c>
      <c r="J4" s="68">
        <f t="shared" si="4"/>
        <v>71.92000000000003</v>
      </c>
      <c r="K4" s="68">
        <f t="shared" si="4"/>
        <v>72.570000000000036</v>
      </c>
      <c r="L4" s="68">
        <f t="shared" si="4"/>
        <v>73.220000000000041</v>
      </c>
      <c r="M4" s="68">
        <f t="shared" si="4"/>
        <v>73.870000000000047</v>
      </c>
      <c r="N4" s="68">
        <f t="shared" si="4"/>
        <v>74.520000000000053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5">S4/O4</f>
        <v>30.548918837647957</v>
      </c>
      <c r="S4" s="72">
        <v>2235.02</v>
      </c>
      <c r="T4" s="73">
        <f t="shared" ref="T4:T21" si="6">P4/R4</f>
        <v>8.641877030183176E-2</v>
      </c>
      <c r="U4" s="70">
        <v>1545.65</v>
      </c>
      <c r="V4" s="73">
        <f t="shared" ref="V4:V21" si="7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759.65175819141109</v>
      </c>
      <c r="C5" s="67">
        <v>0</v>
      </c>
      <c r="D5" s="67">
        <v>0</v>
      </c>
      <c r="E5" s="69">
        <f>'28'!N5*1.2</f>
        <v>189.91293954785277</v>
      </c>
      <c r="F5" s="67">
        <v>0</v>
      </c>
      <c r="G5" s="67">
        <v>0</v>
      </c>
      <c r="H5" s="68">
        <f>E5</f>
        <v>189.91293954785277</v>
      </c>
      <c r="I5" s="67">
        <v>0</v>
      </c>
      <c r="J5" s="67">
        <v>0</v>
      </c>
      <c r="K5" s="68">
        <f>H5</f>
        <v>189.91293954785277</v>
      </c>
      <c r="L5" s="67">
        <v>0</v>
      </c>
      <c r="M5" s="67">
        <v>0</v>
      </c>
      <c r="N5" s="68">
        <f>K5</f>
        <v>189.91293954785277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72.381725700715123</v>
      </c>
      <c r="C6" s="68">
        <f>'28'!L6</f>
        <v>17.738879938416606</v>
      </c>
      <c r="D6" s="67">
        <v>0</v>
      </c>
      <c r="E6" s="67">
        <v>0</v>
      </c>
      <c r="F6" s="69">
        <f>C6*1.02</f>
        <v>18.093657537184939</v>
      </c>
      <c r="G6" s="67">
        <v>0</v>
      </c>
      <c r="H6" s="67">
        <v>0</v>
      </c>
      <c r="I6" s="68">
        <f>F6</f>
        <v>18.093657537184939</v>
      </c>
      <c r="J6" s="67">
        <v>0</v>
      </c>
      <c r="K6" s="67">
        <v>0</v>
      </c>
      <c r="L6" s="69">
        <f>I6*1.02</f>
        <v>18.455530687928636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1124.4000000000001</v>
      </c>
      <c r="V6" s="73">
        <f t="shared" si="7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'28'!N7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2048.75</v>
      </c>
      <c r="V7" s="73">
        <f t="shared" si="7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175.74381097293289</v>
      </c>
      <c r="C8" s="68">
        <f>'28'!L8</f>
        <v>41.157801164621283</v>
      </c>
      <c r="D8" s="67">
        <v>0</v>
      </c>
      <c r="E8" s="67">
        <v>0</v>
      </c>
      <c r="F8" s="69">
        <f>C8*1.09</f>
        <v>44.862003269437203</v>
      </c>
      <c r="G8" s="67"/>
      <c r="H8" s="67"/>
      <c r="I8" s="68">
        <f>F8</f>
        <v>44.862003269437203</v>
      </c>
      <c r="J8" s="67"/>
      <c r="K8" s="67"/>
      <c r="L8" s="68">
        <f>I8</f>
        <v>44.862003269437203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5"/>
        <v>23.256363636363634</v>
      </c>
      <c r="S8" s="72">
        <v>1279.0999999999999</v>
      </c>
      <c r="T8" s="73">
        <f t="shared" si="6"/>
        <v>4.8743647877413816E-2</v>
      </c>
      <c r="U8" s="70">
        <v>1673.1</v>
      </c>
      <c r="V8" s="73">
        <f t="shared" si="7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'28'!N9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5"/>
        <v>12.055439994531195</v>
      </c>
      <c r="S9" s="72">
        <v>2468.9299999999998</v>
      </c>
      <c r="T9" s="73">
        <f t="shared" si="6"/>
        <v>4.9770062334695601E-2</v>
      </c>
      <c r="U9" s="70">
        <v>2508.7800000000002</v>
      </c>
      <c r="V9" s="73">
        <f t="shared" si="7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171.00657038190155</v>
      </c>
      <c r="C10" s="69">
        <f>'28'!L10*1.05</f>
        <v>42.751642595475388</v>
      </c>
      <c r="D10" s="67">
        <v>0</v>
      </c>
      <c r="E10" s="67">
        <v>0</v>
      </c>
      <c r="F10" s="68">
        <f>C10</f>
        <v>42.751642595475388</v>
      </c>
      <c r="G10" s="67">
        <v>0</v>
      </c>
      <c r="H10" s="67">
        <v>0</v>
      </c>
      <c r="I10" s="68">
        <f>F10</f>
        <v>42.751642595475388</v>
      </c>
      <c r="J10" s="67">
        <v>0</v>
      </c>
      <c r="K10" s="67">
        <v>0</v>
      </c>
      <c r="L10" s="68">
        <f>I10</f>
        <v>42.751642595475388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3170</v>
      </c>
      <c r="V10" s="73">
        <f t="shared" si="7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56.955566794716184</v>
      </c>
      <c r="C11" s="67">
        <v>0</v>
      </c>
      <c r="D11" s="69">
        <f>'28'!M11*1.0366</f>
        <v>14.238891698679046</v>
      </c>
      <c r="E11" s="67">
        <v>0</v>
      </c>
      <c r="F11" s="67">
        <v>0</v>
      </c>
      <c r="G11" s="68">
        <f>D11</f>
        <v>14.238891698679046</v>
      </c>
      <c r="H11" s="67">
        <v>0</v>
      </c>
      <c r="I11" s="67">
        <v>0</v>
      </c>
      <c r="J11" s="68">
        <f>G11</f>
        <v>14.238891698679046</v>
      </c>
      <c r="K11" s="67">
        <v>0</v>
      </c>
      <c r="L11" s="67">
        <v>0</v>
      </c>
      <c r="M11" s="68">
        <f>J11</f>
        <v>14.238891698679046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725.25</v>
      </c>
      <c r="V11" s="73">
        <f t="shared" si="7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111.65397666169716</v>
      </c>
      <c r="C12" s="67">
        <v>0</v>
      </c>
      <c r="D12" s="67">
        <v>0</v>
      </c>
      <c r="E12" s="68">
        <f>'28'!N12</f>
        <v>26.521134598977945</v>
      </c>
      <c r="F12" s="67">
        <v>0</v>
      </c>
      <c r="G12" s="67">
        <v>0</v>
      </c>
      <c r="H12" s="69">
        <f>E12*1.07</f>
        <v>28.377614020906403</v>
      </c>
      <c r="I12" s="67">
        <v>0</v>
      </c>
      <c r="J12" s="67">
        <v>0</v>
      </c>
      <c r="K12" s="68">
        <f>H12</f>
        <v>28.377614020906403</v>
      </c>
      <c r="L12" s="67">
        <v>0</v>
      </c>
      <c r="M12" s="67">
        <v>0</v>
      </c>
      <c r="N12" s="68">
        <f>K12</f>
        <v>28.377614020906403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6"/>
        <v>3.1760166221430693E-2</v>
      </c>
      <c r="U12" s="70">
        <v>1726.5</v>
      </c>
      <c r="V12" s="73">
        <f t="shared" si="7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'28'!M13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1216.5</v>
      </c>
      <c r="V13" s="73">
        <f t="shared" si="7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367.76814115952413</v>
      </c>
      <c r="C14" s="68">
        <f>'28'!N14*1.04</f>
        <v>30.52807908424348</v>
      </c>
      <c r="D14" s="68">
        <f>C14</f>
        <v>30.52807908424348</v>
      </c>
      <c r="E14" s="68">
        <f>D14</f>
        <v>30.52807908424348</v>
      </c>
      <c r="F14" s="68">
        <f>E14*1.0026</f>
        <v>30.607452089862512</v>
      </c>
      <c r="G14" s="68">
        <f>F14</f>
        <v>30.607452089862512</v>
      </c>
      <c r="H14" s="68">
        <f>G14</f>
        <v>30.607452089862512</v>
      </c>
      <c r="I14" s="68">
        <f>H14*1.0026</f>
        <v>30.687031465296155</v>
      </c>
      <c r="J14" s="68">
        <f>I14</f>
        <v>30.687031465296155</v>
      </c>
      <c r="K14" s="68">
        <f>J14</f>
        <v>30.687031465296155</v>
      </c>
      <c r="L14" s="68">
        <f>K14*1.0026</f>
        <v>30.766817747105922</v>
      </c>
      <c r="M14" s="68">
        <f>L14</f>
        <v>30.766817747105922</v>
      </c>
      <c r="N14" s="68">
        <f>M14</f>
        <v>30.766817747105922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6"/>
        <v>6.4042266958263191E-2</v>
      </c>
      <c r="U14" s="70">
        <v>4629.72</v>
      </c>
      <c r="V14" s="73">
        <f t="shared" si="7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115.31220935479422</v>
      </c>
      <c r="C15" s="67">
        <v>0</v>
      </c>
      <c r="D15" s="67">
        <v>0</v>
      </c>
      <c r="E15" s="88">
        <f>'28'!N15*1.07</f>
        <v>28.828052338698555</v>
      </c>
      <c r="F15" s="67">
        <v>0</v>
      </c>
      <c r="G15" s="67">
        <v>0</v>
      </c>
      <c r="H15" s="68">
        <f>E15</f>
        <v>28.828052338698555</v>
      </c>
      <c r="I15" s="67">
        <v>0</v>
      </c>
      <c r="J15" s="67">
        <v>0</v>
      </c>
      <c r="K15" s="68">
        <f>H15</f>
        <v>28.828052338698555</v>
      </c>
      <c r="L15" s="67">
        <v>0</v>
      </c>
      <c r="M15" s="67">
        <v>0</v>
      </c>
      <c r="N15" s="68">
        <f>K15</f>
        <v>28.828052338698555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1294</v>
      </c>
      <c r="V15" s="73">
        <f t="shared" si="7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81.318395625555851</v>
      </c>
      <c r="C16" s="68">
        <f>'28'!L16</f>
        <v>20.228456623272599</v>
      </c>
      <c r="D16" s="70">
        <v>0</v>
      </c>
      <c r="E16" s="70">
        <v>0</v>
      </c>
      <c r="F16" s="68">
        <f>C16</f>
        <v>20.228456623272599</v>
      </c>
      <c r="G16" s="70">
        <v>0</v>
      </c>
      <c r="H16" s="70">
        <v>0</v>
      </c>
      <c r="I16" s="68">
        <f>F16</f>
        <v>20.228456623272599</v>
      </c>
      <c r="J16" s="70">
        <v>0</v>
      </c>
      <c r="K16" s="70">
        <v>0</v>
      </c>
      <c r="L16" s="69">
        <f>I16*1.02</f>
        <v>20.633025755738053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1394.38</v>
      </c>
      <c r="V16" s="73">
        <f t="shared" si="7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187.24321854921416</v>
      </c>
      <c r="C17" s="70">
        <v>0</v>
      </c>
      <c r="D17" s="69">
        <f>'28'!M17*1.02</f>
        <v>46.810804637303541</v>
      </c>
      <c r="E17" s="70">
        <v>0</v>
      </c>
      <c r="F17" s="67">
        <v>0</v>
      </c>
      <c r="G17" s="68">
        <f>D17</f>
        <v>46.810804637303541</v>
      </c>
      <c r="H17" s="67">
        <v>0</v>
      </c>
      <c r="I17" s="67">
        <v>0</v>
      </c>
      <c r="J17" s="68">
        <f>G17</f>
        <v>46.810804637303541</v>
      </c>
      <c r="K17" s="67">
        <v>0</v>
      </c>
      <c r="L17" s="67">
        <v>0</v>
      </c>
      <c r="M17" s="68">
        <f>J17</f>
        <v>46.810804637303541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3007.88</v>
      </c>
      <c r="V17" s="73">
        <f t="shared" si="7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94.544139037953641</v>
      </c>
      <c r="C18" s="68">
        <f>'28'!L18</f>
        <v>22.781720250109309</v>
      </c>
      <c r="D18" s="67">
        <v>0</v>
      </c>
      <c r="E18" s="70">
        <v>0</v>
      </c>
      <c r="F18" s="69">
        <f>C18*1.05</f>
        <v>23.920806262614775</v>
      </c>
      <c r="G18" s="67">
        <v>0</v>
      </c>
      <c r="H18" s="67">
        <v>0</v>
      </c>
      <c r="I18" s="68">
        <f>F18</f>
        <v>23.920806262614775</v>
      </c>
      <c r="J18" s="67">
        <v>0</v>
      </c>
      <c r="K18" s="67">
        <v>0</v>
      </c>
      <c r="L18" s="68">
        <f>I18</f>
        <v>23.920806262614775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6"/>
        <v>4.0757396449704143E-2</v>
      </c>
      <c r="U18" s="70">
        <v>1485</v>
      </c>
      <c r="V18" s="73">
        <f t="shared" si="7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271.38980798846433</v>
      </c>
      <c r="C19" s="70">
        <v>0</v>
      </c>
      <c r="D19" s="70">
        <v>0</v>
      </c>
      <c r="E19" s="69">
        <f>'28'!N19*1.05</f>
        <v>67.847451997116082</v>
      </c>
      <c r="F19" s="70">
        <v>0</v>
      </c>
      <c r="G19" s="70">
        <v>0</v>
      </c>
      <c r="H19" s="68">
        <f>E19</f>
        <v>67.847451997116082</v>
      </c>
      <c r="I19" s="70">
        <v>0</v>
      </c>
      <c r="J19" s="70">
        <v>0</v>
      </c>
      <c r="K19" s="68">
        <f>H19</f>
        <v>67.847451997116082</v>
      </c>
      <c r="L19" s="70">
        <v>0</v>
      </c>
      <c r="M19" s="70">
        <v>0</v>
      </c>
      <c r="N19" s="68">
        <f>K19</f>
        <v>67.847451997116082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6"/>
        <v>3.5362465269007319E-2</v>
      </c>
      <c r="U19" s="70">
        <v>4027</v>
      </c>
      <c r="V19" s="73">
        <f t="shared" si="7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107.88820670997708</v>
      </c>
      <c r="C20" s="70">
        <v>0</v>
      </c>
      <c r="D20" s="70">
        <v>0</v>
      </c>
      <c r="E20" s="68">
        <f>'28'!N20</f>
        <v>25.997158243367974</v>
      </c>
      <c r="F20" s="70">
        <v>0</v>
      </c>
      <c r="G20" s="70">
        <v>0</v>
      </c>
      <c r="H20" s="69">
        <f>E20*1.05</f>
        <v>27.297016155536372</v>
      </c>
      <c r="I20" s="70">
        <v>0</v>
      </c>
      <c r="J20" s="70">
        <v>0</v>
      </c>
      <c r="K20" s="68">
        <f>H20</f>
        <v>27.297016155536372</v>
      </c>
      <c r="L20" s="70">
        <v>0</v>
      </c>
      <c r="M20" s="70">
        <v>0</v>
      </c>
      <c r="N20" s="68">
        <f>K20</f>
        <v>27.297016155536372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81.980841282910205</v>
      </c>
      <c r="C21" s="70">
        <v>0</v>
      </c>
      <c r="D21" s="70">
        <v>0</v>
      </c>
      <c r="E21" s="68">
        <f>'28'!N21</f>
        <v>19.754419586243422</v>
      </c>
      <c r="F21" s="70">
        <v>0</v>
      </c>
      <c r="G21" s="70">
        <v>0</v>
      </c>
      <c r="H21" s="69">
        <f>E21*1.05</f>
        <v>20.742140565555594</v>
      </c>
      <c r="I21" s="70">
        <v>0</v>
      </c>
      <c r="J21" s="70">
        <v>0</v>
      </c>
      <c r="K21" s="68">
        <f>H21</f>
        <v>20.742140565555594</v>
      </c>
      <c r="L21" s="70">
        <v>0</v>
      </c>
      <c r="M21" s="70">
        <v>0</v>
      </c>
      <c r="N21" s="68">
        <f>K21</f>
        <v>20.742140565555594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1354.5</v>
      </c>
      <c r="V21" s="73">
        <f t="shared" si="7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8">SUM(B3:B21)</f>
        <v>3861.5831810635373</v>
      </c>
      <c r="C23" s="79">
        <f t="shared" si="8"/>
        <v>242.55657965613864</v>
      </c>
      <c r="D23" s="79">
        <f t="shared" si="8"/>
        <v>184.27184718151952</v>
      </c>
      <c r="E23" s="79">
        <f t="shared" si="8"/>
        <v>521.49923539650024</v>
      </c>
      <c r="F23" s="79">
        <f t="shared" si="8"/>
        <v>249.78401837784739</v>
      </c>
      <c r="G23" s="79">
        <f t="shared" si="8"/>
        <v>187.2840620560039</v>
      </c>
      <c r="H23" s="79">
        <f t="shared" si="8"/>
        <v>527.67266671552829</v>
      </c>
      <c r="I23" s="79">
        <f t="shared" si="8"/>
        <v>251.81359775328107</v>
      </c>
      <c r="J23" s="79">
        <f t="shared" si="8"/>
        <v>189.31364143143756</v>
      </c>
      <c r="K23" s="79">
        <f t="shared" si="8"/>
        <v>529.70224609096203</v>
      </c>
      <c r="L23" s="79">
        <f t="shared" si="8"/>
        <v>254.60982631830001</v>
      </c>
      <c r="M23" s="79">
        <f t="shared" si="8"/>
        <v>191.34342771324737</v>
      </c>
      <c r="N23" s="79">
        <f t="shared" si="8"/>
        <v>531.73203237277176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9.7856656733731895E-2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2028</v>
      </c>
      <c r="B25" s="70">
        <f>SUM(C25:N25)</f>
        <v>3549.8502675270865</v>
      </c>
      <c r="C25" s="68">
        <f>'28'!C23</f>
        <v>226.30020201832141</v>
      </c>
      <c r="D25" s="68">
        <f>'28'!D23</f>
        <v>173.21920828118002</v>
      </c>
      <c r="E25" s="68">
        <f>'28'!E23</f>
        <v>472.06469432290442</v>
      </c>
      <c r="F25" s="68">
        <f>'28'!F23</f>
        <v>233.00012552920467</v>
      </c>
      <c r="G25" s="68">
        <f>'28'!G23</f>
        <v>176.02504118344041</v>
      </c>
      <c r="H25" s="68">
        <f>'28'!H23</f>
        <v>477.8540963657025</v>
      </c>
      <c r="I25" s="68">
        <f>'28'!I23</f>
        <v>234.87605040431256</v>
      </c>
      <c r="J25" s="68">
        <f>'28'!J23</f>
        <v>177.90096605854831</v>
      </c>
      <c r="K25" s="68">
        <f>'28'!K23</f>
        <v>479.73002124081034</v>
      </c>
      <c r="L25" s="68">
        <f>'28'!L23</f>
        <v>237.49663026373671</v>
      </c>
      <c r="M25" s="68">
        <f>'28'!M23</f>
        <v>179.77708833833148</v>
      </c>
      <c r="N25" s="68">
        <f>'28'!N23</f>
        <v>481.60614352059355</v>
      </c>
      <c r="T25" s="84"/>
    </row>
    <row r="26" spans="1:25" x14ac:dyDescent="0.2">
      <c r="A26" s="83" t="s">
        <v>40</v>
      </c>
      <c r="B26" s="73">
        <f t="shared" ref="B26:N26" si="9">(B23-B25)/B25</f>
        <v>8.7815792228783662E-2</v>
      </c>
      <c r="C26" s="73">
        <f t="shared" si="9"/>
        <v>7.1835453494208973E-2</v>
      </c>
      <c r="D26" s="73">
        <f t="shared" si="9"/>
        <v>6.3807235987351829E-2</v>
      </c>
      <c r="E26" s="73">
        <f t="shared" si="9"/>
        <v>0.10471984384365192</v>
      </c>
      <c r="F26" s="73">
        <f t="shared" si="9"/>
        <v>7.2033836078508884E-2</v>
      </c>
      <c r="G26" s="73">
        <f t="shared" si="9"/>
        <v>6.3962608938294016E-2</v>
      </c>
      <c r="H26" s="73">
        <f t="shared" si="9"/>
        <v>0.10425477301276405</v>
      </c>
      <c r="I26" s="73">
        <f t="shared" si="9"/>
        <v>7.2112705062148466E-2</v>
      </c>
      <c r="J26" s="73">
        <f t="shared" si="9"/>
        <v>6.4151845972175728E-2</v>
      </c>
      <c r="K26" s="73">
        <f t="shared" si="9"/>
        <v>0.10416739131918347</v>
      </c>
      <c r="L26" s="73">
        <f t="shared" si="9"/>
        <v>7.2056584699999052E-2</v>
      </c>
      <c r="M26" s="73">
        <f t="shared" si="9"/>
        <v>6.4337115935199779E-2</v>
      </c>
      <c r="N26" s="73">
        <f t="shared" si="9"/>
        <v>0.1040806674220401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L7" sqref="L7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76.383361529125239</v>
      </c>
      <c r="C3" s="67">
        <v>0</v>
      </c>
      <c r="D3" s="68">
        <f>'29'!M3</f>
        <v>18.316913630158808</v>
      </c>
      <c r="E3" s="67">
        <v>0</v>
      </c>
      <c r="F3" s="67">
        <v>0</v>
      </c>
      <c r="G3" s="69">
        <f>D3*1.0567</f>
        <v>19.355482632988814</v>
      </c>
      <c r="H3" s="67">
        <v>0</v>
      </c>
      <c r="I3" s="67">
        <v>0</v>
      </c>
      <c r="J3" s="68">
        <f>G3</f>
        <v>19.355482632988814</v>
      </c>
      <c r="K3" s="67">
        <v>0</v>
      </c>
      <c r="L3" s="67">
        <v>0</v>
      </c>
      <c r="M3" s="68">
        <f>J3</f>
        <v>19.355482632988814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948.84000000000083</v>
      </c>
      <c r="C4" s="68">
        <f>'29'!N4+0.7</f>
        <v>75.220000000000056</v>
      </c>
      <c r="D4" s="68">
        <f>C4+0.7</f>
        <v>75.920000000000059</v>
      </c>
      <c r="E4" s="68">
        <f t="shared" ref="E4:N4" si="4">D4+0.7</f>
        <v>76.620000000000061</v>
      </c>
      <c r="F4" s="68">
        <f t="shared" si="4"/>
        <v>77.320000000000064</v>
      </c>
      <c r="G4" s="68">
        <f t="shared" si="4"/>
        <v>78.020000000000067</v>
      </c>
      <c r="H4" s="68">
        <f t="shared" si="4"/>
        <v>78.72000000000007</v>
      </c>
      <c r="I4" s="68">
        <f t="shared" si="4"/>
        <v>79.420000000000073</v>
      </c>
      <c r="J4" s="68">
        <f t="shared" si="4"/>
        <v>80.120000000000076</v>
      </c>
      <c r="K4" s="68">
        <f t="shared" si="4"/>
        <v>80.820000000000078</v>
      </c>
      <c r="L4" s="68">
        <f t="shared" si="4"/>
        <v>81.520000000000081</v>
      </c>
      <c r="M4" s="68">
        <f t="shared" si="4"/>
        <v>82.220000000000084</v>
      </c>
      <c r="N4" s="68">
        <f t="shared" si="4"/>
        <v>82.920000000000087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5">S4/O4</f>
        <v>30.548918837647957</v>
      </c>
      <c r="S4" s="72">
        <v>2235.02</v>
      </c>
      <c r="T4" s="73">
        <f t="shared" ref="T4:T21" si="6">P4/R4</f>
        <v>8.641877030183176E-2</v>
      </c>
      <c r="U4" s="70">
        <v>1545.65</v>
      </c>
      <c r="V4" s="73">
        <f t="shared" ref="V4:V21" si="7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911.58210982969331</v>
      </c>
      <c r="C5" s="67">
        <v>0</v>
      </c>
      <c r="D5" s="67">
        <v>0</v>
      </c>
      <c r="E5" s="69">
        <f>'29'!N5*1.2</f>
        <v>227.89552745742333</v>
      </c>
      <c r="F5" s="67">
        <v>0</v>
      </c>
      <c r="G5" s="67">
        <v>0</v>
      </c>
      <c r="H5" s="68">
        <f>E5</f>
        <v>227.89552745742333</v>
      </c>
      <c r="I5" s="67">
        <v>0</v>
      </c>
      <c r="J5" s="67">
        <v>0</v>
      </c>
      <c r="K5" s="68">
        <f>H5</f>
        <v>227.89552745742333</v>
      </c>
      <c r="L5" s="67">
        <v>0</v>
      </c>
      <c r="M5" s="67">
        <v>0</v>
      </c>
      <c r="N5" s="68">
        <f>K5</f>
        <v>227.89552745742333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75.305947419024008</v>
      </c>
      <c r="C6" s="68">
        <f>'29'!L6</f>
        <v>18.455530687928636</v>
      </c>
      <c r="D6" s="67">
        <v>0</v>
      </c>
      <c r="E6" s="67">
        <v>0</v>
      </c>
      <c r="F6" s="69">
        <f>C6*1.02</f>
        <v>18.824641301687208</v>
      </c>
      <c r="G6" s="67">
        <v>0</v>
      </c>
      <c r="H6" s="67">
        <v>0</v>
      </c>
      <c r="I6" s="68">
        <f>F6</f>
        <v>18.824641301687208</v>
      </c>
      <c r="J6" s="67">
        <v>0</v>
      </c>
      <c r="K6" s="67">
        <v>0</v>
      </c>
      <c r="L6" s="69">
        <f>I6*1.02</f>
        <v>19.201134127720952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1124.4000000000001</v>
      </c>
      <c r="V6" s="73">
        <f t="shared" si="7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'29'!N7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2048.75</v>
      </c>
      <c r="V7" s="73">
        <f t="shared" si="7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191.56075396049687</v>
      </c>
      <c r="C8" s="68">
        <f>'29'!L8</f>
        <v>44.862003269437203</v>
      </c>
      <c r="D8" s="67">
        <v>0</v>
      </c>
      <c r="E8" s="67">
        <v>0</v>
      </c>
      <c r="F8" s="69">
        <f>C8*1.09</f>
        <v>48.899583563686555</v>
      </c>
      <c r="G8" s="67"/>
      <c r="H8" s="67"/>
      <c r="I8" s="68">
        <f>F8</f>
        <v>48.899583563686555</v>
      </c>
      <c r="J8" s="67"/>
      <c r="K8" s="67"/>
      <c r="L8" s="68">
        <f>I8</f>
        <v>48.899583563686555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5"/>
        <v>23.256363636363634</v>
      </c>
      <c r="S8" s="72">
        <v>1279.0999999999999</v>
      </c>
      <c r="T8" s="73">
        <f t="shared" si="6"/>
        <v>4.8743647877413816E-2</v>
      </c>
      <c r="U8" s="70">
        <v>1673.1</v>
      </c>
      <c r="V8" s="73">
        <f t="shared" si="7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'29'!N9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5"/>
        <v>12.055439994531195</v>
      </c>
      <c r="S9" s="72">
        <v>2468.9299999999998</v>
      </c>
      <c r="T9" s="73">
        <f t="shared" si="6"/>
        <v>4.9770062334695601E-2</v>
      </c>
      <c r="U9" s="70">
        <v>2508.7800000000002</v>
      </c>
      <c r="V9" s="73">
        <f t="shared" si="7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179.55689890099663</v>
      </c>
      <c r="C10" s="69">
        <f>'29'!L10*1.05</f>
        <v>44.889224725249157</v>
      </c>
      <c r="D10" s="67">
        <v>0</v>
      </c>
      <c r="E10" s="67">
        <v>0</v>
      </c>
      <c r="F10" s="68">
        <f>C10</f>
        <v>44.889224725249157</v>
      </c>
      <c r="G10" s="67">
        <v>0</v>
      </c>
      <c r="H10" s="67">
        <v>0</v>
      </c>
      <c r="I10" s="68">
        <f>F10</f>
        <v>44.889224725249157</v>
      </c>
      <c r="J10" s="67">
        <v>0</v>
      </c>
      <c r="K10" s="67">
        <v>0</v>
      </c>
      <c r="L10" s="68">
        <f>I10</f>
        <v>44.889224725249157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3170</v>
      </c>
      <c r="V10" s="73">
        <f t="shared" si="7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59.040140539402792</v>
      </c>
      <c r="C11" s="67">
        <v>0</v>
      </c>
      <c r="D11" s="69">
        <f>'29'!M11*1.0366</f>
        <v>14.760035134850698</v>
      </c>
      <c r="E11" s="67">
        <v>0</v>
      </c>
      <c r="F11" s="67">
        <v>0</v>
      </c>
      <c r="G11" s="68">
        <f>D11</f>
        <v>14.760035134850698</v>
      </c>
      <c r="H11" s="67">
        <v>0</v>
      </c>
      <c r="I11" s="67">
        <v>0</v>
      </c>
      <c r="J11" s="68">
        <f>G11</f>
        <v>14.760035134850698</v>
      </c>
      <c r="K11" s="67">
        <v>0</v>
      </c>
      <c r="L11" s="67">
        <v>0</v>
      </c>
      <c r="M11" s="68">
        <f>J11</f>
        <v>14.760035134850698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725.25</v>
      </c>
      <c r="V11" s="73">
        <f t="shared" si="7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119.46975502801597</v>
      </c>
      <c r="C12" s="67">
        <v>0</v>
      </c>
      <c r="D12" s="67">
        <v>0</v>
      </c>
      <c r="E12" s="68">
        <f>'29'!N12</f>
        <v>28.377614020906403</v>
      </c>
      <c r="F12" s="67">
        <v>0</v>
      </c>
      <c r="G12" s="67">
        <v>0</v>
      </c>
      <c r="H12" s="69">
        <f>E12*1.07</f>
        <v>30.364047002369855</v>
      </c>
      <c r="I12" s="67">
        <v>0</v>
      </c>
      <c r="J12" s="67">
        <v>0</v>
      </c>
      <c r="K12" s="68">
        <f>H12</f>
        <v>30.364047002369855</v>
      </c>
      <c r="L12" s="67">
        <v>0</v>
      </c>
      <c r="M12" s="67">
        <v>0</v>
      </c>
      <c r="N12" s="68">
        <f>K12</f>
        <v>30.364047002369855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6"/>
        <v>3.1760166221430693E-2</v>
      </c>
      <c r="U12" s="70">
        <v>1726.5</v>
      </c>
      <c r="V12" s="73">
        <f t="shared" si="7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'29'!M13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1216.5</v>
      </c>
      <c r="V13" s="73">
        <f t="shared" si="7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385.46996536085851</v>
      </c>
      <c r="C14" s="68">
        <f>'29'!N14*1.04</f>
        <v>31.99749045699016</v>
      </c>
      <c r="D14" s="68">
        <f>C14</f>
        <v>31.99749045699016</v>
      </c>
      <c r="E14" s="68">
        <f>D14</f>
        <v>31.99749045699016</v>
      </c>
      <c r="F14" s="68">
        <f>E14*1.0026</f>
        <v>32.080683932178331</v>
      </c>
      <c r="G14" s="68">
        <f>F14</f>
        <v>32.080683932178331</v>
      </c>
      <c r="H14" s="68">
        <f>G14</f>
        <v>32.080683932178331</v>
      </c>
      <c r="I14" s="68">
        <f>H14*1.0026</f>
        <v>32.164093710401993</v>
      </c>
      <c r="J14" s="68">
        <f>I14</f>
        <v>32.164093710401993</v>
      </c>
      <c r="K14" s="68">
        <f>J14</f>
        <v>32.164093710401993</v>
      </c>
      <c r="L14" s="68">
        <f>K14*1.0026</f>
        <v>32.247720354049036</v>
      </c>
      <c r="M14" s="68">
        <f>L14</f>
        <v>32.247720354049036</v>
      </c>
      <c r="N14" s="68">
        <f>M14</f>
        <v>32.247720354049036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6"/>
        <v>6.4042266958263191E-2</v>
      </c>
      <c r="U14" s="70">
        <v>4629.72</v>
      </c>
      <c r="V14" s="73">
        <f t="shared" si="7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123.38406400962982</v>
      </c>
      <c r="C15" s="67">
        <v>0</v>
      </c>
      <c r="D15" s="67">
        <v>0</v>
      </c>
      <c r="E15" s="88">
        <f>'29'!N15*1.07</f>
        <v>30.846016002407456</v>
      </c>
      <c r="F15" s="67">
        <v>0</v>
      </c>
      <c r="G15" s="67">
        <v>0</v>
      </c>
      <c r="H15" s="68">
        <f>E15</f>
        <v>30.846016002407456</v>
      </c>
      <c r="I15" s="67">
        <v>0</v>
      </c>
      <c r="J15" s="67">
        <v>0</v>
      </c>
      <c r="K15" s="68">
        <f>H15</f>
        <v>30.846016002407456</v>
      </c>
      <c r="L15" s="67">
        <v>0</v>
      </c>
      <c r="M15" s="67">
        <v>0</v>
      </c>
      <c r="N15" s="68">
        <f>K15</f>
        <v>30.846016002407456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1294</v>
      </c>
      <c r="V15" s="73">
        <f t="shared" si="7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82.944763538066979</v>
      </c>
      <c r="C16" s="68">
        <f>'29'!L16</f>
        <v>20.633025755738053</v>
      </c>
      <c r="D16" s="70">
        <v>0</v>
      </c>
      <c r="E16" s="70">
        <v>0</v>
      </c>
      <c r="F16" s="68">
        <f>C16</f>
        <v>20.633025755738053</v>
      </c>
      <c r="G16" s="70">
        <v>0</v>
      </c>
      <c r="H16" s="70">
        <v>0</v>
      </c>
      <c r="I16" s="68">
        <f>F16</f>
        <v>20.633025755738053</v>
      </c>
      <c r="J16" s="70">
        <v>0</v>
      </c>
      <c r="K16" s="70">
        <v>0</v>
      </c>
      <c r="L16" s="69">
        <f>I16*1.02</f>
        <v>21.045686270852816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1394.38</v>
      </c>
      <c r="V16" s="73">
        <f t="shared" si="7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190.98808292019845</v>
      </c>
      <c r="C17" s="70">
        <v>0</v>
      </c>
      <c r="D17" s="69">
        <f>'29'!M17*1.02</f>
        <v>47.747020730049613</v>
      </c>
      <c r="E17" s="70">
        <v>0</v>
      </c>
      <c r="F17" s="67">
        <v>0</v>
      </c>
      <c r="G17" s="68">
        <f>D17</f>
        <v>47.747020730049613</v>
      </c>
      <c r="H17" s="67">
        <v>0</v>
      </c>
      <c r="I17" s="67">
        <v>0</v>
      </c>
      <c r="J17" s="68">
        <f>G17</f>
        <v>47.747020730049613</v>
      </c>
      <c r="K17" s="67">
        <v>0</v>
      </c>
      <c r="L17" s="67">
        <v>0</v>
      </c>
      <c r="M17" s="68">
        <f>J17</f>
        <v>47.747020730049613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3007.88</v>
      </c>
      <c r="V17" s="73">
        <f t="shared" si="7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99.271345989851312</v>
      </c>
      <c r="C18" s="68">
        <f>'29'!L18</f>
        <v>23.920806262614775</v>
      </c>
      <c r="D18" s="67">
        <v>0</v>
      </c>
      <c r="E18" s="70">
        <v>0</v>
      </c>
      <c r="F18" s="69">
        <f>C18*1.05</f>
        <v>25.116846575745516</v>
      </c>
      <c r="G18" s="67">
        <v>0</v>
      </c>
      <c r="H18" s="67">
        <v>0</v>
      </c>
      <c r="I18" s="68">
        <f>F18</f>
        <v>25.116846575745516</v>
      </c>
      <c r="J18" s="67">
        <v>0</v>
      </c>
      <c r="K18" s="67">
        <v>0</v>
      </c>
      <c r="L18" s="68">
        <f>I18</f>
        <v>25.116846575745516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6"/>
        <v>4.0757396449704143E-2</v>
      </c>
      <c r="U18" s="70">
        <v>1485</v>
      </c>
      <c r="V18" s="73">
        <f t="shared" si="7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284.95929838788754</v>
      </c>
      <c r="C19" s="70">
        <v>0</v>
      </c>
      <c r="D19" s="70">
        <v>0</v>
      </c>
      <c r="E19" s="69">
        <f>'29'!N19*1.05</f>
        <v>71.239824596971886</v>
      </c>
      <c r="F19" s="70">
        <v>0</v>
      </c>
      <c r="G19" s="70">
        <v>0</v>
      </c>
      <c r="H19" s="68">
        <f>E19</f>
        <v>71.239824596971886</v>
      </c>
      <c r="I19" s="70">
        <v>0</v>
      </c>
      <c r="J19" s="70">
        <v>0</v>
      </c>
      <c r="K19" s="68">
        <f>H19</f>
        <v>71.239824596971886</v>
      </c>
      <c r="L19" s="70">
        <v>0</v>
      </c>
      <c r="M19" s="70">
        <v>0</v>
      </c>
      <c r="N19" s="68">
        <f>K19</f>
        <v>71.239824596971886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6"/>
        <v>3.5362465269007319E-2</v>
      </c>
      <c r="U19" s="70">
        <v>4027</v>
      </c>
      <c r="V19" s="73">
        <f t="shared" si="7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113.28261704547594</v>
      </c>
      <c r="C20" s="70">
        <v>0</v>
      </c>
      <c r="D20" s="70">
        <v>0</v>
      </c>
      <c r="E20" s="68">
        <f>'29'!N20</f>
        <v>27.297016155536372</v>
      </c>
      <c r="F20" s="70">
        <v>0</v>
      </c>
      <c r="G20" s="70">
        <v>0</v>
      </c>
      <c r="H20" s="69">
        <f>E20*1.05</f>
        <v>28.661866963313191</v>
      </c>
      <c r="I20" s="70">
        <v>0</v>
      </c>
      <c r="J20" s="70">
        <v>0</v>
      </c>
      <c r="K20" s="68">
        <f>H20</f>
        <v>28.661866963313191</v>
      </c>
      <c r="L20" s="70">
        <v>0</v>
      </c>
      <c r="M20" s="70">
        <v>0</v>
      </c>
      <c r="N20" s="68">
        <f>K20</f>
        <v>28.661866963313191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86.079883347055713</v>
      </c>
      <c r="C21" s="70">
        <v>0</v>
      </c>
      <c r="D21" s="70">
        <v>0</v>
      </c>
      <c r="E21" s="68">
        <f>'29'!N21</f>
        <v>20.742140565555594</v>
      </c>
      <c r="F21" s="70">
        <v>0</v>
      </c>
      <c r="G21" s="70">
        <v>0</v>
      </c>
      <c r="H21" s="69">
        <f>E21*1.05</f>
        <v>21.779247593833375</v>
      </c>
      <c r="I21" s="70">
        <v>0</v>
      </c>
      <c r="J21" s="70">
        <v>0</v>
      </c>
      <c r="K21" s="68">
        <f>H21</f>
        <v>21.779247593833375</v>
      </c>
      <c r="L21" s="70">
        <v>0</v>
      </c>
      <c r="M21" s="70">
        <v>0</v>
      </c>
      <c r="N21" s="68">
        <f>K21</f>
        <v>21.779247593833375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1354.5</v>
      </c>
      <c r="V21" s="73">
        <f t="shared" si="7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8">SUM(B3:B21)</f>
        <v>4211.2389878057802</v>
      </c>
      <c r="C23" s="79">
        <f t="shared" si="8"/>
        <v>259.97808115795806</v>
      </c>
      <c r="D23" s="79">
        <f t="shared" si="8"/>
        <v>196.08145995204933</v>
      </c>
      <c r="E23" s="79">
        <f t="shared" si="8"/>
        <v>578.45562925579122</v>
      </c>
      <c r="F23" s="79">
        <f t="shared" si="8"/>
        <v>267.7640058542849</v>
      </c>
      <c r="G23" s="79">
        <f t="shared" si="8"/>
        <v>199.30322243006754</v>
      </c>
      <c r="H23" s="79">
        <f t="shared" si="8"/>
        <v>585.02721354849746</v>
      </c>
      <c r="I23" s="79">
        <f t="shared" si="8"/>
        <v>269.94741563250858</v>
      </c>
      <c r="J23" s="79">
        <f t="shared" si="8"/>
        <v>201.48663220829121</v>
      </c>
      <c r="K23" s="79">
        <f t="shared" si="8"/>
        <v>587.21062332672113</v>
      </c>
      <c r="L23" s="79">
        <f t="shared" si="8"/>
        <v>272.92019561730416</v>
      </c>
      <c r="M23" s="79">
        <f t="shared" si="8"/>
        <v>203.67025885193823</v>
      </c>
      <c r="N23" s="79">
        <f t="shared" si="8"/>
        <v>589.39424997036815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0.10671730964498374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2029</v>
      </c>
      <c r="B25" s="70">
        <f>SUM(C25:N25)</f>
        <v>3861.5831810635377</v>
      </c>
      <c r="C25" s="68">
        <f>'29'!C23</f>
        <v>242.55657965613864</v>
      </c>
      <c r="D25" s="68">
        <f>'29'!D23</f>
        <v>184.27184718151952</v>
      </c>
      <c r="E25" s="68">
        <f>'29'!E23</f>
        <v>521.49923539650024</v>
      </c>
      <c r="F25" s="68">
        <f>'29'!F23</f>
        <v>249.78401837784739</v>
      </c>
      <c r="G25" s="68">
        <f>'29'!G23</f>
        <v>187.2840620560039</v>
      </c>
      <c r="H25" s="68">
        <f>'29'!H23</f>
        <v>527.67266671552829</v>
      </c>
      <c r="I25" s="68">
        <f>'29'!I23</f>
        <v>251.81359775328107</v>
      </c>
      <c r="J25" s="68">
        <f>'29'!J23</f>
        <v>189.31364143143756</v>
      </c>
      <c r="K25" s="68">
        <f>'29'!K23</f>
        <v>529.70224609096203</v>
      </c>
      <c r="L25" s="68">
        <f>'29'!L23</f>
        <v>254.60982631830001</v>
      </c>
      <c r="M25" s="68">
        <f>'29'!M23</f>
        <v>191.34342771324737</v>
      </c>
      <c r="N25" s="68">
        <f>'29'!N23</f>
        <v>531.73203237277176</v>
      </c>
      <c r="T25" s="84"/>
    </row>
    <row r="26" spans="1:25" x14ac:dyDescent="0.2">
      <c r="A26" s="83" t="s">
        <v>40</v>
      </c>
      <c r="B26" s="73">
        <f t="shared" ref="B26:N26" si="9">(B23-B25)/B25</f>
        <v>9.0547267881444946E-2</v>
      </c>
      <c r="C26" s="73">
        <f t="shared" si="9"/>
        <v>7.1824485349014588E-2</v>
      </c>
      <c r="D26" s="73">
        <f t="shared" si="9"/>
        <v>6.4087992556435325E-2</v>
      </c>
      <c r="E26" s="73">
        <f t="shared" si="9"/>
        <v>0.10921663924585923</v>
      </c>
      <c r="F26" s="73">
        <f t="shared" si="9"/>
        <v>7.1982137180767319E-2</v>
      </c>
      <c r="G26" s="73">
        <f t="shared" si="9"/>
        <v>6.417609828683403E-2</v>
      </c>
      <c r="H26" s="73">
        <f t="shared" si="9"/>
        <v>0.10869342008933232</v>
      </c>
      <c r="I26" s="73">
        <f t="shared" si="9"/>
        <v>7.2012862057570237E-2</v>
      </c>
      <c r="J26" s="73">
        <f t="shared" si="9"/>
        <v>6.4300653058127683E-2</v>
      </c>
      <c r="K26" s="73">
        <f t="shared" si="9"/>
        <v>0.10856736527011741</v>
      </c>
      <c r="L26" s="73">
        <f t="shared" si="9"/>
        <v>7.1915407051546698E-2</v>
      </c>
      <c r="M26" s="73">
        <f t="shared" si="9"/>
        <v>6.4422547907755673E-2</v>
      </c>
      <c r="N26" s="73">
        <f t="shared" si="9"/>
        <v>0.10844224926658581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F7" sqref="F7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80.714298127826652</v>
      </c>
      <c r="C3" s="67">
        <v>0</v>
      </c>
      <c r="D3" s="68">
        <f>'30'!M3</f>
        <v>19.355482632988814</v>
      </c>
      <c r="E3" s="67">
        <v>0</v>
      </c>
      <c r="F3" s="67">
        <v>0</v>
      </c>
      <c r="G3" s="69">
        <f>D3*1.0567</f>
        <v>20.452938498279281</v>
      </c>
      <c r="H3" s="67">
        <v>0</v>
      </c>
      <c r="I3" s="67">
        <v>0</v>
      </c>
      <c r="J3" s="68">
        <f>G3</f>
        <v>20.452938498279281</v>
      </c>
      <c r="K3" s="67">
        <v>0</v>
      </c>
      <c r="L3" s="67">
        <v>0</v>
      </c>
      <c r="M3" s="68">
        <f>J3</f>
        <v>20.452938498279281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1053.5400000000011</v>
      </c>
      <c r="C4" s="68">
        <f>'30'!N4+0.75</f>
        <v>83.670000000000087</v>
      </c>
      <c r="D4" s="68">
        <f>C4+0.75</f>
        <v>84.420000000000087</v>
      </c>
      <c r="E4" s="68">
        <f t="shared" ref="E4:N4" si="4">D4+0.75</f>
        <v>85.170000000000087</v>
      </c>
      <c r="F4" s="68">
        <f t="shared" si="4"/>
        <v>85.920000000000087</v>
      </c>
      <c r="G4" s="68">
        <f t="shared" si="4"/>
        <v>86.670000000000087</v>
      </c>
      <c r="H4" s="68">
        <f t="shared" si="4"/>
        <v>87.420000000000087</v>
      </c>
      <c r="I4" s="68">
        <f t="shared" si="4"/>
        <v>88.170000000000087</v>
      </c>
      <c r="J4" s="68">
        <f t="shared" si="4"/>
        <v>88.920000000000087</v>
      </c>
      <c r="K4" s="68">
        <f t="shared" si="4"/>
        <v>89.670000000000087</v>
      </c>
      <c r="L4" s="68">
        <f t="shared" si="4"/>
        <v>90.420000000000087</v>
      </c>
      <c r="M4" s="68">
        <f t="shared" si="4"/>
        <v>91.170000000000087</v>
      </c>
      <c r="N4" s="68">
        <f t="shared" si="4"/>
        <v>91.920000000000087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5">S4/O4</f>
        <v>30.548918837647957</v>
      </c>
      <c r="S4" s="72">
        <v>2235.02</v>
      </c>
      <c r="T4" s="73">
        <f t="shared" ref="T4:T21" si="6">P4/R4</f>
        <v>8.641877030183176E-2</v>
      </c>
      <c r="U4" s="70">
        <v>1545.65</v>
      </c>
      <c r="V4" s="73">
        <f t="shared" ref="V4:V21" si="7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1093.8985317956319</v>
      </c>
      <c r="C5" s="67">
        <v>0</v>
      </c>
      <c r="D5" s="67">
        <v>0</v>
      </c>
      <c r="E5" s="69">
        <f>'30'!N5*1.2</f>
        <v>273.47463294890798</v>
      </c>
      <c r="F5" s="67">
        <v>0</v>
      </c>
      <c r="G5" s="67">
        <v>0</v>
      </c>
      <c r="H5" s="68">
        <f>E5</f>
        <v>273.47463294890798</v>
      </c>
      <c r="I5" s="67">
        <v>0</v>
      </c>
      <c r="J5" s="67">
        <v>0</v>
      </c>
      <c r="K5" s="68">
        <f>H5</f>
        <v>273.47463294890798</v>
      </c>
      <c r="L5" s="67">
        <v>0</v>
      </c>
      <c r="M5" s="67">
        <v>0</v>
      </c>
      <c r="N5" s="68">
        <f>K5</f>
        <v>273.47463294890798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78.348307694752577</v>
      </c>
      <c r="C6" s="68">
        <f>'30'!L6</f>
        <v>19.201134127720952</v>
      </c>
      <c r="D6" s="67">
        <v>0</v>
      </c>
      <c r="E6" s="67">
        <v>0</v>
      </c>
      <c r="F6" s="69">
        <f>C6*1.02</f>
        <v>19.585156810275372</v>
      </c>
      <c r="G6" s="67">
        <v>0</v>
      </c>
      <c r="H6" s="67">
        <v>0</v>
      </c>
      <c r="I6" s="68">
        <f>F6</f>
        <v>19.585156810275372</v>
      </c>
      <c r="J6" s="67">
        <v>0</v>
      </c>
      <c r="K6" s="67">
        <v>0</v>
      </c>
      <c r="L6" s="69">
        <f>I6*1.02</f>
        <v>19.976859946480879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1124.4000000000001</v>
      </c>
      <c r="V6" s="73">
        <f t="shared" si="7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'30'!N7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2048.75</v>
      </c>
      <c r="V7" s="73">
        <f t="shared" si="7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208.80122181694162</v>
      </c>
      <c r="C8" s="68">
        <f>'30'!L8</f>
        <v>48.899583563686555</v>
      </c>
      <c r="D8" s="67">
        <v>0</v>
      </c>
      <c r="E8" s="67">
        <v>0</v>
      </c>
      <c r="F8" s="69">
        <f>C8*1.09</f>
        <v>53.30054608441835</v>
      </c>
      <c r="G8" s="67"/>
      <c r="H8" s="67"/>
      <c r="I8" s="68">
        <f>F8</f>
        <v>53.30054608441835</v>
      </c>
      <c r="J8" s="67"/>
      <c r="K8" s="67"/>
      <c r="L8" s="68">
        <f>I8</f>
        <v>53.30054608441835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5"/>
        <v>23.256363636363634</v>
      </c>
      <c r="S8" s="72">
        <v>1279.0999999999999</v>
      </c>
      <c r="T8" s="73">
        <f t="shared" si="6"/>
        <v>4.8743647877413816E-2</v>
      </c>
      <c r="U8" s="70">
        <v>1673.1</v>
      </c>
      <c r="V8" s="73">
        <f t="shared" si="7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'30'!N9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5"/>
        <v>12.055439994531195</v>
      </c>
      <c r="S9" s="72">
        <v>2468.9299999999998</v>
      </c>
      <c r="T9" s="73">
        <f t="shared" si="6"/>
        <v>4.9770062334695601E-2</v>
      </c>
      <c r="U9" s="70">
        <v>2508.7800000000002</v>
      </c>
      <c r="V9" s="73">
        <f t="shared" si="7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188.53474384604647</v>
      </c>
      <c r="C10" s="69">
        <f>'30'!L10*1.05</f>
        <v>47.133685961511617</v>
      </c>
      <c r="D10" s="67">
        <v>0</v>
      </c>
      <c r="E10" s="67">
        <v>0</v>
      </c>
      <c r="F10" s="68">
        <f>C10</f>
        <v>47.133685961511617</v>
      </c>
      <c r="G10" s="67">
        <v>0</v>
      </c>
      <c r="H10" s="67">
        <v>0</v>
      </c>
      <c r="I10" s="68">
        <f>F10</f>
        <v>47.133685961511617</v>
      </c>
      <c r="J10" s="67">
        <v>0</v>
      </c>
      <c r="K10" s="67">
        <v>0</v>
      </c>
      <c r="L10" s="68">
        <f>I10</f>
        <v>47.133685961511617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3170</v>
      </c>
      <c r="V10" s="73">
        <f t="shared" si="7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61.201009683144932</v>
      </c>
      <c r="C11" s="67">
        <v>0</v>
      </c>
      <c r="D11" s="69">
        <f>'30'!M11*1.0366</f>
        <v>15.300252420786233</v>
      </c>
      <c r="E11" s="67">
        <v>0</v>
      </c>
      <c r="F11" s="67">
        <v>0</v>
      </c>
      <c r="G11" s="68">
        <f>D11</f>
        <v>15.300252420786233</v>
      </c>
      <c r="H11" s="67">
        <v>0</v>
      </c>
      <c r="I11" s="67">
        <v>0</v>
      </c>
      <c r="J11" s="68">
        <f>G11</f>
        <v>15.300252420786233</v>
      </c>
      <c r="K11" s="67">
        <v>0</v>
      </c>
      <c r="L11" s="67">
        <v>0</v>
      </c>
      <c r="M11" s="68">
        <f>J11</f>
        <v>15.300252420786233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725.25</v>
      </c>
      <c r="V11" s="73">
        <f t="shared" si="7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127.8326378799771</v>
      </c>
      <c r="C12" s="67">
        <v>0</v>
      </c>
      <c r="D12" s="67">
        <v>0</v>
      </c>
      <c r="E12" s="68">
        <f>'30'!N12</f>
        <v>30.364047002369855</v>
      </c>
      <c r="F12" s="67">
        <v>0</v>
      </c>
      <c r="G12" s="67">
        <v>0</v>
      </c>
      <c r="H12" s="69">
        <f>E12*1.07</f>
        <v>32.489530292535747</v>
      </c>
      <c r="I12" s="67">
        <v>0</v>
      </c>
      <c r="J12" s="67">
        <v>0</v>
      </c>
      <c r="K12" s="68">
        <f>H12</f>
        <v>32.489530292535747</v>
      </c>
      <c r="L12" s="67">
        <v>0</v>
      </c>
      <c r="M12" s="67">
        <v>0</v>
      </c>
      <c r="N12" s="68">
        <f>K12</f>
        <v>32.489530292535747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6"/>
        <v>3.1760166221430693E-2</v>
      </c>
      <c r="U12" s="70">
        <v>1726.5</v>
      </c>
      <c r="V12" s="73">
        <f t="shared" si="7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'30'!M13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1216.5</v>
      </c>
      <c r="V13" s="73">
        <f t="shared" si="7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404.02383340445442</v>
      </c>
      <c r="C14" s="68">
        <f>'30'!N14*1.04</f>
        <v>33.537629168210998</v>
      </c>
      <c r="D14" s="68">
        <f>C14</f>
        <v>33.537629168210998</v>
      </c>
      <c r="E14" s="68">
        <f>D14</f>
        <v>33.537629168210998</v>
      </c>
      <c r="F14" s="68">
        <f>E14*1.0026</f>
        <v>33.624827004048342</v>
      </c>
      <c r="G14" s="68">
        <f>F14</f>
        <v>33.624827004048342</v>
      </c>
      <c r="H14" s="68">
        <f>G14</f>
        <v>33.624827004048342</v>
      </c>
      <c r="I14" s="68">
        <f>H14*1.0026</f>
        <v>33.712251554258863</v>
      </c>
      <c r="J14" s="68">
        <f>I14</f>
        <v>33.712251554258863</v>
      </c>
      <c r="K14" s="68">
        <f>J14</f>
        <v>33.712251554258863</v>
      </c>
      <c r="L14" s="68">
        <f>K14*1.0026</f>
        <v>33.799903408299933</v>
      </c>
      <c r="M14" s="68">
        <f>L14</f>
        <v>33.799903408299933</v>
      </c>
      <c r="N14" s="68">
        <f>M14</f>
        <v>33.799903408299933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6"/>
        <v>6.4042266958263191E-2</v>
      </c>
      <c r="U14" s="70">
        <v>4629.72</v>
      </c>
      <c r="V14" s="73">
        <f t="shared" si="7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132.02094849030391</v>
      </c>
      <c r="C15" s="67">
        <v>0</v>
      </c>
      <c r="D15" s="67">
        <v>0</v>
      </c>
      <c r="E15" s="88">
        <f>'30'!N15*1.07</f>
        <v>33.005237122575977</v>
      </c>
      <c r="F15" s="67">
        <v>0</v>
      </c>
      <c r="G15" s="67">
        <v>0</v>
      </c>
      <c r="H15" s="68">
        <f>E15</f>
        <v>33.005237122575977</v>
      </c>
      <c r="I15" s="67">
        <v>0</v>
      </c>
      <c r="J15" s="67">
        <v>0</v>
      </c>
      <c r="K15" s="68">
        <f>H15</f>
        <v>33.005237122575977</v>
      </c>
      <c r="L15" s="67">
        <v>0</v>
      </c>
      <c r="M15" s="67">
        <v>0</v>
      </c>
      <c r="N15" s="68">
        <f>K15</f>
        <v>33.005237122575977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1294</v>
      </c>
      <c r="V15" s="73">
        <f t="shared" si="7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84.603658808828328</v>
      </c>
      <c r="C16" s="68">
        <f>'30'!L16</f>
        <v>21.045686270852816</v>
      </c>
      <c r="D16" s="70">
        <v>0</v>
      </c>
      <c r="E16" s="70">
        <v>0</v>
      </c>
      <c r="F16" s="68">
        <f>C16</f>
        <v>21.045686270852816</v>
      </c>
      <c r="G16" s="70">
        <v>0</v>
      </c>
      <c r="H16" s="70">
        <v>0</v>
      </c>
      <c r="I16" s="68">
        <f>F16</f>
        <v>21.045686270852816</v>
      </c>
      <c r="J16" s="70">
        <v>0</v>
      </c>
      <c r="K16" s="70">
        <v>0</v>
      </c>
      <c r="L16" s="69">
        <f>I16*1.02</f>
        <v>21.466599996269871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1394.38</v>
      </c>
      <c r="V16" s="73">
        <f t="shared" si="7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194.80784457860241</v>
      </c>
      <c r="C17" s="70">
        <v>0</v>
      </c>
      <c r="D17" s="69">
        <f>'30'!M17*1.02</f>
        <v>48.701961144650603</v>
      </c>
      <c r="E17" s="70">
        <v>0</v>
      </c>
      <c r="F17" s="67">
        <v>0</v>
      </c>
      <c r="G17" s="68">
        <f>D17</f>
        <v>48.701961144650603</v>
      </c>
      <c r="H17" s="67">
        <v>0</v>
      </c>
      <c r="I17" s="67">
        <v>0</v>
      </c>
      <c r="J17" s="68">
        <f>G17</f>
        <v>48.701961144650603</v>
      </c>
      <c r="K17" s="67">
        <v>0</v>
      </c>
      <c r="L17" s="67">
        <v>0</v>
      </c>
      <c r="M17" s="68">
        <f>J17</f>
        <v>48.701961144650603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3007.88</v>
      </c>
      <c r="V17" s="73">
        <f t="shared" si="7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104.23491328934389</v>
      </c>
      <c r="C18" s="68">
        <f>'30'!L18</f>
        <v>25.116846575745516</v>
      </c>
      <c r="D18" s="67">
        <v>0</v>
      </c>
      <c r="E18" s="70">
        <v>0</v>
      </c>
      <c r="F18" s="69">
        <f>C18*1.05</f>
        <v>26.372688904532794</v>
      </c>
      <c r="G18" s="67">
        <v>0</v>
      </c>
      <c r="H18" s="67">
        <v>0</v>
      </c>
      <c r="I18" s="68">
        <f>F18</f>
        <v>26.372688904532794</v>
      </c>
      <c r="J18" s="67">
        <v>0</v>
      </c>
      <c r="K18" s="67">
        <v>0</v>
      </c>
      <c r="L18" s="68">
        <f>I18</f>
        <v>26.372688904532794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6"/>
        <v>4.0757396449704143E-2</v>
      </c>
      <c r="U18" s="70">
        <v>1485</v>
      </c>
      <c r="V18" s="73">
        <f t="shared" si="7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299.20726330728195</v>
      </c>
      <c r="C19" s="70">
        <v>0</v>
      </c>
      <c r="D19" s="70">
        <v>0</v>
      </c>
      <c r="E19" s="69">
        <f>'30'!N19*1.05</f>
        <v>74.801815826820487</v>
      </c>
      <c r="F19" s="70">
        <v>0</v>
      </c>
      <c r="G19" s="70">
        <v>0</v>
      </c>
      <c r="H19" s="68">
        <f>E19</f>
        <v>74.801815826820487</v>
      </c>
      <c r="I19" s="70">
        <v>0</v>
      </c>
      <c r="J19" s="70">
        <v>0</v>
      </c>
      <c r="K19" s="68">
        <f>H19</f>
        <v>74.801815826820487</v>
      </c>
      <c r="L19" s="70">
        <v>0</v>
      </c>
      <c r="M19" s="70">
        <v>0</v>
      </c>
      <c r="N19" s="68">
        <f>K19</f>
        <v>74.801815826820487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6"/>
        <v>3.5362465269007319E-2</v>
      </c>
      <c r="U19" s="70">
        <v>4027</v>
      </c>
      <c r="V19" s="73">
        <f t="shared" si="7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118.94674789774973</v>
      </c>
      <c r="C20" s="70">
        <v>0</v>
      </c>
      <c r="D20" s="70">
        <v>0</v>
      </c>
      <c r="E20" s="68">
        <f>'30'!N20</f>
        <v>28.661866963313191</v>
      </c>
      <c r="F20" s="70">
        <v>0</v>
      </c>
      <c r="G20" s="70">
        <v>0</v>
      </c>
      <c r="H20" s="69">
        <f>E20*1.05</f>
        <v>30.09496031147885</v>
      </c>
      <c r="I20" s="70">
        <v>0</v>
      </c>
      <c r="J20" s="70">
        <v>0</v>
      </c>
      <c r="K20" s="68">
        <f>H20</f>
        <v>30.09496031147885</v>
      </c>
      <c r="L20" s="70">
        <v>0</v>
      </c>
      <c r="M20" s="70">
        <v>0</v>
      </c>
      <c r="N20" s="68">
        <f>K20</f>
        <v>30.09496031147885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90.383877514408496</v>
      </c>
      <c r="C21" s="70">
        <v>0</v>
      </c>
      <c r="D21" s="70">
        <v>0</v>
      </c>
      <c r="E21" s="68">
        <f>'30'!N21</f>
        <v>21.779247593833375</v>
      </c>
      <c r="F21" s="70">
        <v>0</v>
      </c>
      <c r="G21" s="70">
        <v>0</v>
      </c>
      <c r="H21" s="69">
        <f>E21*1.05</f>
        <v>22.868209973525044</v>
      </c>
      <c r="I21" s="70">
        <v>0</v>
      </c>
      <c r="J21" s="70">
        <v>0</v>
      </c>
      <c r="K21" s="68">
        <f>H21</f>
        <v>22.868209973525044</v>
      </c>
      <c r="L21" s="70">
        <v>0</v>
      </c>
      <c r="M21" s="70">
        <v>0</v>
      </c>
      <c r="N21" s="68">
        <f>K21</f>
        <v>22.868209973525044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1354.5</v>
      </c>
      <c r="V21" s="73">
        <f t="shared" si="7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8">SUM(B3:B21)</f>
        <v>4604.2198381352946</v>
      </c>
      <c r="C23" s="79">
        <f t="shared" si="8"/>
        <v>278.60456566772854</v>
      </c>
      <c r="D23" s="79">
        <f t="shared" si="8"/>
        <v>208.65532536663673</v>
      </c>
      <c r="E23" s="79">
        <f t="shared" si="8"/>
        <v>644.23447662603189</v>
      </c>
      <c r="F23" s="79">
        <f t="shared" si="8"/>
        <v>286.98259103563942</v>
      </c>
      <c r="G23" s="79">
        <f t="shared" si="8"/>
        <v>212.08997906776455</v>
      </c>
      <c r="H23" s="79">
        <f t="shared" si="8"/>
        <v>651.21921347989257</v>
      </c>
      <c r="I23" s="79">
        <f t="shared" si="8"/>
        <v>289.32001558584989</v>
      </c>
      <c r="J23" s="79">
        <f t="shared" si="8"/>
        <v>214.42740361797507</v>
      </c>
      <c r="K23" s="79">
        <f t="shared" si="8"/>
        <v>653.55663803010304</v>
      </c>
      <c r="L23" s="79">
        <f t="shared" si="8"/>
        <v>292.47028430151352</v>
      </c>
      <c r="M23" s="79">
        <f t="shared" si="8"/>
        <v>216.76505547201614</v>
      </c>
      <c r="N23" s="79">
        <f t="shared" si="8"/>
        <v>655.89428988414409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0.11667586559742449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2030</v>
      </c>
      <c r="B25" s="70">
        <f>SUM(C25:N25)</f>
        <v>4211.2389878057802</v>
      </c>
      <c r="C25" s="68">
        <f>'30'!C23</f>
        <v>259.97808115795806</v>
      </c>
      <c r="D25" s="68">
        <f>'30'!D23</f>
        <v>196.08145995204933</v>
      </c>
      <c r="E25" s="68">
        <f>'30'!E23</f>
        <v>578.45562925579122</v>
      </c>
      <c r="F25" s="68">
        <f>'30'!F23</f>
        <v>267.7640058542849</v>
      </c>
      <c r="G25" s="68">
        <f>'30'!G23</f>
        <v>199.30322243006754</v>
      </c>
      <c r="H25" s="68">
        <f>'30'!H23</f>
        <v>585.02721354849746</v>
      </c>
      <c r="I25" s="68">
        <f>'30'!I23</f>
        <v>269.94741563250858</v>
      </c>
      <c r="J25" s="68">
        <f>'30'!J23</f>
        <v>201.48663220829121</v>
      </c>
      <c r="K25" s="68">
        <f>'30'!K23</f>
        <v>587.21062332672113</v>
      </c>
      <c r="L25" s="68">
        <f>'30'!L23</f>
        <v>272.92019561730416</v>
      </c>
      <c r="M25" s="68">
        <f>'30'!M23</f>
        <v>203.67025885193823</v>
      </c>
      <c r="N25" s="68">
        <f>'30'!N23</f>
        <v>589.39424997036815</v>
      </c>
      <c r="T25" s="84"/>
    </row>
    <row r="26" spans="1:25" x14ac:dyDescent="0.2">
      <c r="A26" s="83" t="s">
        <v>40</v>
      </c>
      <c r="B26" s="73">
        <f t="shared" ref="B26:N26" si="9">(B23-B25)/B25</f>
        <v>9.3317157128209607E-2</v>
      </c>
      <c r="C26" s="73">
        <f t="shared" si="9"/>
        <v>7.1646365058188721E-2</v>
      </c>
      <c r="D26" s="73">
        <f t="shared" si="9"/>
        <v>6.4125723144157917E-2</v>
      </c>
      <c r="E26" s="73">
        <f t="shared" si="9"/>
        <v>0.11371459459192759</v>
      </c>
      <c r="F26" s="73">
        <f t="shared" si="9"/>
        <v>7.1774341439353573E-2</v>
      </c>
      <c r="G26" s="73">
        <f t="shared" si="9"/>
        <v>6.4157300026514569E-2</v>
      </c>
      <c r="H26" s="73">
        <f t="shared" si="9"/>
        <v>0.11314345452394574</v>
      </c>
      <c r="I26" s="73">
        <f t="shared" si="9"/>
        <v>7.1764346800467574E-2</v>
      </c>
      <c r="J26" s="73">
        <f t="shared" si="9"/>
        <v>6.4226451491362746E-2</v>
      </c>
      <c r="K26" s="73">
        <f t="shared" si="9"/>
        <v>0.11298503819210932</v>
      </c>
      <c r="L26" s="73">
        <f t="shared" si="9"/>
        <v>7.1632986485261799E-2</v>
      </c>
      <c r="M26" s="73">
        <f t="shared" si="9"/>
        <v>6.4294103095324365E-2</v>
      </c>
      <c r="N26" s="73">
        <f t="shared" si="9"/>
        <v>0.11282777176248196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zoomScale="80" zoomScaleNormal="80" workbookViewId="0">
      <pane xSplit="1" topLeftCell="B1" activePane="topRight" state="frozen"/>
      <selection pane="topRight" activeCell="Q4" sqref="Q4"/>
    </sheetView>
  </sheetViews>
  <sheetFormatPr defaultRowHeight="12.75" x14ac:dyDescent="0.2"/>
  <cols>
    <col min="1" max="1" width="10" style="59" customWidth="1"/>
    <col min="2" max="2" width="10.140625" style="59" bestFit="1" customWidth="1"/>
    <col min="3" max="14" width="8.85546875" style="59" customWidth="1"/>
    <col min="15" max="15" width="10.140625" style="65" bestFit="1" customWidth="1"/>
    <col min="16" max="16" width="9.7109375" style="59" bestFit="1" customWidth="1"/>
    <col min="17" max="17" width="10.140625" style="59" bestFit="1" customWidth="1"/>
    <col min="18" max="18" width="9.42578125" style="59" bestFit="1" customWidth="1"/>
    <col min="19" max="19" width="11.28515625" style="59" bestFit="1" customWidth="1"/>
    <col min="20" max="20" width="8.140625" style="59" customWidth="1"/>
    <col min="21" max="21" width="13.42578125" style="59" bestFit="1" customWidth="1"/>
    <col min="22" max="22" width="12.7109375" style="59" bestFit="1" customWidth="1"/>
    <col min="23" max="23" width="11" style="59" customWidth="1"/>
    <col min="24" max="16384" width="9.140625" style="59"/>
  </cols>
  <sheetData>
    <row r="1" spans="1:26" x14ac:dyDescent="0.2">
      <c r="B1" s="60" t="s">
        <v>67</v>
      </c>
      <c r="C1" s="60" t="s">
        <v>46</v>
      </c>
      <c r="D1" s="60" t="s">
        <v>47</v>
      </c>
      <c r="E1" s="60" t="s">
        <v>48</v>
      </c>
      <c r="F1" s="60" t="s">
        <v>49</v>
      </c>
      <c r="G1" s="60" t="s">
        <v>50</v>
      </c>
      <c r="H1" s="60" t="s">
        <v>51</v>
      </c>
      <c r="I1" s="60" t="s">
        <v>52</v>
      </c>
      <c r="J1" s="60" t="s">
        <v>53</v>
      </c>
      <c r="K1" s="60" t="s">
        <v>54</v>
      </c>
      <c r="L1" s="60" t="s">
        <v>55</v>
      </c>
      <c r="M1" s="60" t="s">
        <v>42</v>
      </c>
      <c r="N1" s="60" t="s">
        <v>43</v>
      </c>
      <c r="O1" s="61" t="s">
        <v>26</v>
      </c>
      <c r="P1" s="62" t="s">
        <v>39</v>
      </c>
      <c r="Q1" s="63" t="s">
        <v>38</v>
      </c>
      <c r="R1" s="60" t="s">
        <v>37</v>
      </c>
      <c r="S1" s="62" t="s">
        <v>27</v>
      </c>
      <c r="T1" s="60" t="s">
        <v>64</v>
      </c>
      <c r="U1" s="60" t="s">
        <v>65</v>
      </c>
      <c r="V1" s="60" t="s">
        <v>62</v>
      </c>
      <c r="W1" s="60" t="s">
        <v>66</v>
      </c>
    </row>
    <row r="2" spans="1:26" x14ac:dyDescent="0.2">
      <c r="A2" s="64" t="s">
        <v>16</v>
      </c>
    </row>
    <row r="3" spans="1:26" x14ac:dyDescent="0.2">
      <c r="A3" s="59" t="s">
        <v>88</v>
      </c>
      <c r="B3" s="66">
        <f t="shared" ref="B3" si="0">SUM(C3:N3)</f>
        <v>85.290798831674437</v>
      </c>
      <c r="C3" s="67">
        <v>0</v>
      </c>
      <c r="D3" s="68">
        <f>'31'!M3</f>
        <v>20.452938498279281</v>
      </c>
      <c r="E3" s="67">
        <v>0</v>
      </c>
      <c r="F3" s="67">
        <v>0</v>
      </c>
      <c r="G3" s="69">
        <f>D3*1.0567</f>
        <v>21.612620111131715</v>
      </c>
      <c r="H3" s="67">
        <v>0</v>
      </c>
      <c r="I3" s="67">
        <v>0</v>
      </c>
      <c r="J3" s="68">
        <f>G3</f>
        <v>21.612620111131715</v>
      </c>
      <c r="K3" s="67">
        <v>0</v>
      </c>
      <c r="L3" s="67">
        <v>0</v>
      </c>
      <c r="M3" s="68">
        <f>J3</f>
        <v>21.612620111131715</v>
      </c>
      <c r="N3" s="67">
        <v>0</v>
      </c>
      <c r="O3" s="65">
        <v>15</v>
      </c>
      <c r="P3" s="70">
        <v>2.52</v>
      </c>
      <c r="Q3" s="71">
        <f t="shared" ref="Q3:Q21" si="1">O3*P3</f>
        <v>37.799999999999997</v>
      </c>
      <c r="R3" s="72">
        <f>S3/O3</f>
        <v>103.35</v>
      </c>
      <c r="S3" s="70">
        <v>1550.25</v>
      </c>
      <c r="T3" s="73">
        <f>P3/R3</f>
        <v>2.4383164005805518E-2</v>
      </c>
      <c r="U3" s="70">
        <v>1751.4</v>
      </c>
      <c r="V3" s="73">
        <f>Q3/U3</f>
        <v>2.1582733812949638E-2</v>
      </c>
      <c r="W3" s="72">
        <f t="shared" ref="W3:W21" si="2">U3-S3</f>
        <v>201.15000000000009</v>
      </c>
      <c r="Y3" s="74"/>
    </row>
    <row r="4" spans="1:26" x14ac:dyDescent="0.2">
      <c r="A4" s="59" t="s">
        <v>24</v>
      </c>
      <c r="B4" s="66">
        <f t="shared" ref="B4:B21" si="3">SUM(C4:N4)</f>
        <v>1165.4400000000007</v>
      </c>
      <c r="C4" s="68">
        <f>'31'!N4+0.8</f>
        <v>92.720000000000084</v>
      </c>
      <c r="D4" s="68">
        <f>C4+0.8</f>
        <v>93.520000000000081</v>
      </c>
      <c r="E4" s="68">
        <f t="shared" ref="E4:N4" si="4">D4+0.8</f>
        <v>94.320000000000078</v>
      </c>
      <c r="F4" s="68">
        <f t="shared" si="4"/>
        <v>95.120000000000076</v>
      </c>
      <c r="G4" s="68">
        <f t="shared" si="4"/>
        <v>95.920000000000073</v>
      </c>
      <c r="H4" s="68">
        <f t="shared" si="4"/>
        <v>96.72000000000007</v>
      </c>
      <c r="I4" s="68">
        <f t="shared" si="4"/>
        <v>97.520000000000067</v>
      </c>
      <c r="J4" s="68">
        <f t="shared" si="4"/>
        <v>98.320000000000064</v>
      </c>
      <c r="K4" s="68">
        <f t="shared" si="4"/>
        <v>99.120000000000061</v>
      </c>
      <c r="L4" s="68">
        <f t="shared" si="4"/>
        <v>99.920000000000059</v>
      </c>
      <c r="M4" s="68">
        <f t="shared" si="4"/>
        <v>100.72000000000006</v>
      </c>
      <c r="N4" s="68">
        <f t="shared" si="4"/>
        <v>101.52000000000005</v>
      </c>
      <c r="O4" s="65">
        <v>73.162000000000006</v>
      </c>
      <c r="P4" s="71">
        <v>2.64</v>
      </c>
      <c r="Q4" s="71">
        <f t="shared" si="1"/>
        <v>193.14768000000004</v>
      </c>
      <c r="R4" s="72">
        <f t="shared" ref="R4:R11" si="5">S4/O4</f>
        <v>30.548918837647957</v>
      </c>
      <c r="S4" s="72">
        <v>2235.02</v>
      </c>
      <c r="T4" s="73">
        <f t="shared" ref="T4:T21" si="6">P4/R4</f>
        <v>8.641877030183176E-2</v>
      </c>
      <c r="U4" s="70">
        <v>1545.65</v>
      </c>
      <c r="V4" s="73">
        <f t="shared" ref="V4:V21" si="7">Q4/U4</f>
        <v>0.12496210655711192</v>
      </c>
      <c r="W4" s="72">
        <f t="shared" si="2"/>
        <v>-689.36999999999989</v>
      </c>
    </row>
    <row r="5" spans="1:26" x14ac:dyDescent="0.2">
      <c r="A5" s="59" t="s">
        <v>92</v>
      </c>
      <c r="B5" s="66">
        <f t="shared" si="3"/>
        <v>1312.6782381547582</v>
      </c>
      <c r="C5" s="67">
        <v>0</v>
      </c>
      <c r="D5" s="67">
        <v>0</v>
      </c>
      <c r="E5" s="69">
        <f>'31'!N5*1.2</f>
        <v>328.16955953868955</v>
      </c>
      <c r="F5" s="67">
        <v>0</v>
      </c>
      <c r="G5" s="67">
        <v>0</v>
      </c>
      <c r="H5" s="68">
        <f>E5</f>
        <v>328.16955953868955</v>
      </c>
      <c r="I5" s="67">
        <v>0</v>
      </c>
      <c r="J5" s="67">
        <v>0</v>
      </c>
      <c r="K5" s="68">
        <f>H5</f>
        <v>328.16955953868955</v>
      </c>
      <c r="L5" s="67">
        <v>0</v>
      </c>
      <c r="M5" s="67">
        <v>0</v>
      </c>
      <c r="N5" s="68">
        <f>K5</f>
        <v>328.16955953868955</v>
      </c>
      <c r="O5" s="65">
        <v>15</v>
      </c>
      <c r="P5" s="71">
        <f>1.42*4</f>
        <v>5.68</v>
      </c>
      <c r="Q5" s="71">
        <f t="shared" si="1"/>
        <v>85.199999999999989</v>
      </c>
      <c r="R5" s="72">
        <f>S5/O5</f>
        <v>128.02333333333334</v>
      </c>
      <c r="S5" s="72">
        <v>1920.35</v>
      </c>
      <c r="T5" s="73">
        <f>P5/R5</f>
        <v>4.4366912281615323E-2</v>
      </c>
      <c r="U5" s="70">
        <v>2341.5</v>
      </c>
      <c r="V5" s="73">
        <f>Q5/U5</f>
        <v>3.6386931454196025E-2</v>
      </c>
      <c r="W5" s="72">
        <f t="shared" si="2"/>
        <v>421.15000000000009</v>
      </c>
      <c r="X5" s="74"/>
      <c r="Y5" s="74"/>
    </row>
    <row r="6" spans="1:26" x14ac:dyDescent="0.2">
      <c r="A6" s="59" t="s">
        <v>83</v>
      </c>
      <c r="B6" s="66">
        <f t="shared" si="3"/>
        <v>81.513579325620583</v>
      </c>
      <c r="C6" s="68">
        <f>'31'!L6</f>
        <v>19.976859946480879</v>
      </c>
      <c r="D6" s="67">
        <v>0</v>
      </c>
      <c r="E6" s="67">
        <v>0</v>
      </c>
      <c r="F6" s="69">
        <f>C6*1.02</f>
        <v>20.376397145410497</v>
      </c>
      <c r="G6" s="67">
        <v>0</v>
      </c>
      <c r="H6" s="67">
        <v>0</v>
      </c>
      <c r="I6" s="68">
        <f>F6</f>
        <v>20.376397145410497</v>
      </c>
      <c r="J6" s="67">
        <v>0</v>
      </c>
      <c r="K6" s="67">
        <v>0</v>
      </c>
      <c r="L6" s="69">
        <f>I6*1.02</f>
        <v>20.783925088318707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5"/>
        <v>51.681500000000007</v>
      </c>
      <c r="S6" s="72">
        <v>1033.6300000000001</v>
      </c>
      <c r="T6" s="73">
        <f t="shared" si="6"/>
        <v>4.1794452560393949E-2</v>
      </c>
      <c r="U6" s="70">
        <v>1124.4000000000001</v>
      </c>
      <c r="V6" s="73">
        <f t="shared" si="7"/>
        <v>3.770900035574528E-2</v>
      </c>
      <c r="W6" s="72">
        <f t="shared" si="2"/>
        <v>90.769999999999982</v>
      </c>
      <c r="Y6" s="74"/>
    </row>
    <row r="7" spans="1:26" x14ac:dyDescent="0.2">
      <c r="A7" s="59" t="s">
        <v>41</v>
      </c>
      <c r="B7" s="66">
        <f t="shared" si="3"/>
        <v>130.88</v>
      </c>
      <c r="C7" s="67">
        <v>0</v>
      </c>
      <c r="D7" s="67">
        <v>0</v>
      </c>
      <c r="E7" s="68">
        <f>'31'!N7</f>
        <v>32.72</v>
      </c>
      <c r="F7" s="67">
        <v>0</v>
      </c>
      <c r="G7" s="67">
        <v>0</v>
      </c>
      <c r="H7" s="68">
        <f>E7</f>
        <v>32.72</v>
      </c>
      <c r="I7" s="67">
        <v>0</v>
      </c>
      <c r="J7" s="67">
        <v>0</v>
      </c>
      <c r="K7" s="68">
        <f>H7</f>
        <v>32.72</v>
      </c>
      <c r="L7" s="67">
        <v>0</v>
      </c>
      <c r="M7" s="67">
        <v>0</v>
      </c>
      <c r="N7" s="69">
        <f>K7</f>
        <v>32.72</v>
      </c>
      <c r="O7" s="65">
        <v>55</v>
      </c>
      <c r="P7" s="70">
        <v>2.4</v>
      </c>
      <c r="Q7" s="70">
        <f t="shared" si="1"/>
        <v>132</v>
      </c>
      <c r="R7" s="72">
        <f t="shared" si="5"/>
        <v>43.217272727272722</v>
      </c>
      <c r="S7" s="70">
        <v>2376.9499999999998</v>
      </c>
      <c r="T7" s="73">
        <f t="shared" si="6"/>
        <v>5.5533351563979053E-2</v>
      </c>
      <c r="U7" s="70">
        <v>2048.75</v>
      </c>
      <c r="V7" s="73">
        <f t="shared" si="7"/>
        <v>6.4429530201342289E-2</v>
      </c>
      <c r="W7" s="72">
        <f t="shared" si="2"/>
        <v>-328.19999999999982</v>
      </c>
    </row>
    <row r="8" spans="1:26" x14ac:dyDescent="0.2">
      <c r="A8" s="59" t="s">
        <v>90</v>
      </c>
      <c r="B8" s="66">
        <f t="shared" si="3"/>
        <v>227.59333178046637</v>
      </c>
      <c r="C8" s="68">
        <f>'31'!L8</f>
        <v>53.30054608441835</v>
      </c>
      <c r="D8" s="67">
        <v>0</v>
      </c>
      <c r="E8" s="67">
        <v>0</v>
      </c>
      <c r="F8" s="69">
        <f>C8*1.09</f>
        <v>58.097595232016005</v>
      </c>
      <c r="G8" s="67"/>
      <c r="H8" s="67"/>
      <c r="I8" s="68">
        <f>F8</f>
        <v>58.097595232016005</v>
      </c>
      <c r="J8" s="67"/>
      <c r="K8" s="67"/>
      <c r="L8" s="68">
        <f>I8</f>
        <v>58.097595232016005</v>
      </c>
      <c r="M8" s="67"/>
      <c r="N8" s="67"/>
      <c r="O8" s="65">
        <v>55</v>
      </c>
      <c r="P8" s="71">
        <f>1.09*1.04</f>
        <v>1.1336000000000002</v>
      </c>
      <c r="Q8" s="70">
        <f t="shared" si="1"/>
        <v>62.348000000000006</v>
      </c>
      <c r="R8" s="72">
        <f t="shared" si="5"/>
        <v>23.256363636363634</v>
      </c>
      <c r="S8" s="72">
        <v>1279.0999999999999</v>
      </c>
      <c r="T8" s="73">
        <f t="shared" si="6"/>
        <v>4.8743647877413816E-2</v>
      </c>
      <c r="U8" s="70">
        <v>1673.1</v>
      </c>
      <c r="V8" s="73">
        <f t="shared" si="7"/>
        <v>3.7264957264957273E-2</v>
      </c>
      <c r="W8" s="72">
        <f t="shared" si="2"/>
        <v>394</v>
      </c>
      <c r="X8" s="72"/>
      <c r="Z8" s="74"/>
    </row>
    <row r="9" spans="1:26" x14ac:dyDescent="0.2">
      <c r="A9" s="59" t="s">
        <v>18</v>
      </c>
      <c r="B9" s="66">
        <f t="shared" si="3"/>
        <v>122.88</v>
      </c>
      <c r="C9" s="67">
        <v>0</v>
      </c>
      <c r="D9" s="67">
        <v>0</v>
      </c>
      <c r="E9" s="69">
        <f>'31'!N9</f>
        <v>30.72</v>
      </c>
      <c r="F9" s="67">
        <v>0</v>
      </c>
      <c r="G9" s="67">
        <v>0</v>
      </c>
      <c r="H9" s="68">
        <f>E9</f>
        <v>30.72</v>
      </c>
      <c r="I9" s="67">
        <v>0</v>
      </c>
      <c r="J9" s="67">
        <v>0</v>
      </c>
      <c r="K9" s="68">
        <f>H9</f>
        <v>30.72</v>
      </c>
      <c r="L9" s="67">
        <v>0</v>
      </c>
      <c r="M9" s="67">
        <v>0</v>
      </c>
      <c r="N9" s="68">
        <f>K9</f>
        <v>30.72</v>
      </c>
      <c r="O9" s="65">
        <v>204.798</v>
      </c>
      <c r="P9" s="71">
        <v>0.6</v>
      </c>
      <c r="Q9" s="71">
        <f t="shared" si="1"/>
        <v>122.8788</v>
      </c>
      <c r="R9" s="72">
        <f t="shared" si="5"/>
        <v>12.055439994531195</v>
      </c>
      <c r="S9" s="72">
        <v>2468.9299999999998</v>
      </c>
      <c r="T9" s="73">
        <f t="shared" si="6"/>
        <v>4.9770062334695601E-2</v>
      </c>
      <c r="U9" s="70">
        <v>2508.7800000000002</v>
      </c>
      <c r="V9" s="73">
        <f t="shared" si="7"/>
        <v>4.8979503982015157E-2</v>
      </c>
      <c r="W9" s="72">
        <f t="shared" si="2"/>
        <v>39.850000000000364</v>
      </c>
    </row>
    <row r="10" spans="1:26" x14ac:dyDescent="0.2">
      <c r="A10" s="59" t="s">
        <v>72</v>
      </c>
      <c r="B10" s="66">
        <f t="shared" si="3"/>
        <v>197.96148103834881</v>
      </c>
      <c r="C10" s="69">
        <f>'31'!L10*1.05</f>
        <v>49.490370259587202</v>
      </c>
      <c r="D10" s="67">
        <v>0</v>
      </c>
      <c r="E10" s="67">
        <v>0</v>
      </c>
      <c r="F10" s="68">
        <f>C10</f>
        <v>49.490370259587202</v>
      </c>
      <c r="G10" s="67">
        <v>0</v>
      </c>
      <c r="H10" s="67">
        <v>0</v>
      </c>
      <c r="I10" s="68">
        <f>F10</f>
        <v>49.490370259587202</v>
      </c>
      <c r="J10" s="67">
        <v>0</v>
      </c>
      <c r="K10" s="67">
        <v>0</v>
      </c>
      <c r="L10" s="68">
        <f>I10</f>
        <v>49.490370259587202</v>
      </c>
      <c r="M10" s="67">
        <v>0</v>
      </c>
      <c r="N10" s="67">
        <v>0</v>
      </c>
      <c r="O10" s="65">
        <v>100</v>
      </c>
      <c r="P10" s="71">
        <v>0.96</v>
      </c>
      <c r="Q10" s="71">
        <f t="shared" si="1"/>
        <v>96</v>
      </c>
      <c r="R10" s="72">
        <f t="shared" si="5"/>
        <v>25.006500000000003</v>
      </c>
      <c r="S10" s="72">
        <v>2500.65</v>
      </c>
      <c r="T10" s="73">
        <f t="shared" si="6"/>
        <v>3.8390018595165248E-2</v>
      </c>
      <c r="U10" s="70">
        <v>3170</v>
      </c>
      <c r="V10" s="73">
        <f t="shared" si="7"/>
        <v>3.0283911671924291E-2</v>
      </c>
      <c r="W10" s="72">
        <f t="shared" si="2"/>
        <v>669.34999999999991</v>
      </c>
      <c r="Y10" s="74"/>
    </row>
    <row r="11" spans="1:26" x14ac:dyDescent="0.2">
      <c r="A11" s="59" t="s">
        <v>74</v>
      </c>
      <c r="B11" s="66">
        <f t="shared" si="3"/>
        <v>63.440966637548037</v>
      </c>
      <c r="C11" s="67">
        <v>0</v>
      </c>
      <c r="D11" s="69">
        <f>'31'!M11*1.0366</f>
        <v>15.860241659387009</v>
      </c>
      <c r="E11" s="67">
        <v>0</v>
      </c>
      <c r="F11" s="67">
        <v>0</v>
      </c>
      <c r="G11" s="68">
        <f>D11</f>
        <v>15.860241659387009</v>
      </c>
      <c r="H11" s="67">
        <v>0</v>
      </c>
      <c r="I11" s="67">
        <v>0</v>
      </c>
      <c r="J11" s="68">
        <f>G11</f>
        <v>15.860241659387009</v>
      </c>
      <c r="K11" s="67">
        <v>0</v>
      </c>
      <c r="L11" s="67">
        <v>0</v>
      </c>
      <c r="M11" s="68">
        <f>J11</f>
        <v>15.860241659387009</v>
      </c>
      <c r="N11" s="67">
        <v>0</v>
      </c>
      <c r="O11" s="65">
        <v>25</v>
      </c>
      <c r="P11" s="71">
        <v>1.48</v>
      </c>
      <c r="Q11" s="71">
        <f t="shared" si="1"/>
        <v>37</v>
      </c>
      <c r="R11" s="72">
        <f t="shared" si="5"/>
        <v>44.078000000000003</v>
      </c>
      <c r="S11" s="72">
        <v>1101.95</v>
      </c>
      <c r="T11" s="73">
        <f t="shared" si="6"/>
        <v>3.3576841054494301E-2</v>
      </c>
      <c r="U11" s="70">
        <v>725.25</v>
      </c>
      <c r="V11" s="73">
        <f t="shared" si="7"/>
        <v>5.1016890727335402E-2</v>
      </c>
      <c r="W11" s="72">
        <f t="shared" si="2"/>
        <v>-376.70000000000005</v>
      </c>
    </row>
    <row r="12" spans="1:26" x14ac:dyDescent="0.2">
      <c r="A12" s="59" t="s">
        <v>81</v>
      </c>
      <c r="B12" s="66">
        <f t="shared" si="3"/>
        <v>136.7809225315755</v>
      </c>
      <c r="C12" s="67">
        <v>0</v>
      </c>
      <c r="D12" s="67">
        <v>0</v>
      </c>
      <c r="E12" s="68">
        <f>'31'!N12</f>
        <v>32.489530292535747</v>
      </c>
      <c r="F12" s="67">
        <v>0</v>
      </c>
      <c r="G12" s="67">
        <v>0</v>
      </c>
      <c r="H12" s="69">
        <f>E12*1.07</f>
        <v>34.763797413013251</v>
      </c>
      <c r="I12" s="67">
        <v>0</v>
      </c>
      <c r="J12" s="67">
        <v>0</v>
      </c>
      <c r="K12" s="68">
        <f>H12</f>
        <v>34.763797413013251</v>
      </c>
      <c r="L12" s="67">
        <v>0</v>
      </c>
      <c r="M12" s="67">
        <v>0</v>
      </c>
      <c r="N12" s="68">
        <f>K12</f>
        <v>34.763797413013251</v>
      </c>
      <c r="O12" s="65">
        <v>15</v>
      </c>
      <c r="P12" s="71">
        <f>1.07*3</f>
        <v>3.21</v>
      </c>
      <c r="Q12" s="71">
        <f t="shared" si="1"/>
        <v>48.15</v>
      </c>
      <c r="R12" s="72">
        <v>101.07</v>
      </c>
      <c r="S12" s="72">
        <v>1516.02</v>
      </c>
      <c r="T12" s="73">
        <f t="shared" si="6"/>
        <v>3.1760166221430693E-2</v>
      </c>
      <c r="U12" s="70">
        <v>1726.5</v>
      </c>
      <c r="V12" s="73">
        <f t="shared" si="7"/>
        <v>2.7888792354474369E-2</v>
      </c>
      <c r="W12" s="72">
        <f t="shared" si="2"/>
        <v>210.48000000000002</v>
      </c>
    </row>
    <row r="13" spans="1:26" x14ac:dyDescent="0.2">
      <c r="A13" s="59" t="s">
        <v>75</v>
      </c>
      <c r="B13" s="66">
        <f t="shared" si="3"/>
        <v>29.36</v>
      </c>
      <c r="C13" s="67">
        <v>0</v>
      </c>
      <c r="D13" s="68">
        <f>'31'!M13</f>
        <v>7.34</v>
      </c>
      <c r="E13" s="67">
        <v>0</v>
      </c>
      <c r="F13" s="67">
        <v>0</v>
      </c>
      <c r="G13" s="68">
        <f>D13</f>
        <v>7.34</v>
      </c>
      <c r="H13" s="67">
        <v>0</v>
      </c>
      <c r="I13" s="67">
        <v>0</v>
      </c>
      <c r="J13" s="68">
        <f>G13</f>
        <v>7.34</v>
      </c>
      <c r="K13" s="67">
        <v>0</v>
      </c>
      <c r="L13" s="67">
        <v>0</v>
      </c>
      <c r="M13" s="68">
        <f>J13</f>
        <v>7.34</v>
      </c>
      <c r="N13" s="67">
        <v>0</v>
      </c>
      <c r="O13" s="65">
        <v>58.683</v>
      </c>
      <c r="P13" s="71">
        <v>0.5</v>
      </c>
      <c r="Q13" s="71">
        <f t="shared" si="1"/>
        <v>29.3415</v>
      </c>
      <c r="R13" s="72">
        <f>S13/O13</f>
        <v>41.349965066543973</v>
      </c>
      <c r="S13" s="76">
        <v>2426.54</v>
      </c>
      <c r="T13" s="73">
        <f t="shared" si="6"/>
        <v>1.2091908643583045E-2</v>
      </c>
      <c r="U13" s="70">
        <v>1216.5</v>
      </c>
      <c r="V13" s="73">
        <f t="shared" si="7"/>
        <v>2.4119605425400741E-2</v>
      </c>
      <c r="W13" s="72">
        <f t="shared" si="2"/>
        <v>-1210.04</v>
      </c>
    </row>
    <row r="14" spans="1:26" x14ac:dyDescent="0.2">
      <c r="A14" s="59" t="s">
        <v>22</v>
      </c>
      <c r="B14" s="66">
        <f t="shared" si="3"/>
        <v>423.47075680985233</v>
      </c>
      <c r="C14" s="68">
        <f>'31'!N14*1.04</f>
        <v>35.151899544631931</v>
      </c>
      <c r="D14" s="68">
        <f>C14</f>
        <v>35.151899544631931</v>
      </c>
      <c r="E14" s="68">
        <f>D14</f>
        <v>35.151899544631931</v>
      </c>
      <c r="F14" s="68">
        <f>E14*1.0026</f>
        <v>35.243294483447968</v>
      </c>
      <c r="G14" s="68">
        <f>F14</f>
        <v>35.243294483447968</v>
      </c>
      <c r="H14" s="68">
        <f>G14</f>
        <v>35.243294483447968</v>
      </c>
      <c r="I14" s="68">
        <f>H14*1.0026</f>
        <v>35.334927049104934</v>
      </c>
      <c r="J14" s="68">
        <f>I14</f>
        <v>35.334927049104934</v>
      </c>
      <c r="K14" s="68">
        <f>J14</f>
        <v>35.334927049104934</v>
      </c>
      <c r="L14" s="68">
        <f>K14*1.0026</f>
        <v>35.426797859432604</v>
      </c>
      <c r="M14" s="68">
        <f>L14</f>
        <v>35.426797859432604</v>
      </c>
      <c r="N14" s="68">
        <f>M14</f>
        <v>35.426797859432604</v>
      </c>
      <c r="O14" s="65">
        <v>82.540999999999997</v>
      </c>
      <c r="P14" s="71">
        <v>2.5259999999999998</v>
      </c>
      <c r="Q14" s="71">
        <f t="shared" si="1"/>
        <v>208.49856599999998</v>
      </c>
      <c r="R14" s="72">
        <f>S14/O14</f>
        <v>39.442701203038489</v>
      </c>
      <c r="S14" s="72">
        <v>3255.64</v>
      </c>
      <c r="T14" s="73">
        <f t="shared" si="6"/>
        <v>6.4042266958263191E-2</v>
      </c>
      <c r="U14" s="70">
        <v>4629.72</v>
      </c>
      <c r="V14" s="73">
        <f t="shared" si="7"/>
        <v>4.5034811176485827E-2</v>
      </c>
      <c r="W14" s="72">
        <f t="shared" si="2"/>
        <v>1374.0800000000004</v>
      </c>
    </row>
    <row r="15" spans="1:26" x14ac:dyDescent="0.2">
      <c r="A15" s="59" t="s">
        <v>71</v>
      </c>
      <c r="B15" s="66">
        <f t="shared" si="3"/>
        <v>141.2624148846252</v>
      </c>
      <c r="C15" s="67">
        <v>0</v>
      </c>
      <c r="D15" s="67">
        <v>0</v>
      </c>
      <c r="E15" s="88">
        <f>'31'!N15*1.07</f>
        <v>35.3156037211563</v>
      </c>
      <c r="F15" s="67">
        <v>0</v>
      </c>
      <c r="G15" s="67">
        <v>0</v>
      </c>
      <c r="H15" s="68">
        <f>E15</f>
        <v>35.3156037211563</v>
      </c>
      <c r="I15" s="67">
        <v>0</v>
      </c>
      <c r="J15" s="67">
        <v>0</v>
      </c>
      <c r="K15" s="68">
        <f>H15</f>
        <v>35.3156037211563</v>
      </c>
      <c r="L15" s="67">
        <v>0</v>
      </c>
      <c r="M15" s="67">
        <v>0</v>
      </c>
      <c r="N15" s="68">
        <f>K15</f>
        <v>35.3156037211563</v>
      </c>
      <c r="O15" s="77">
        <v>40</v>
      </c>
      <c r="P15" s="71">
        <f>0.32*4</f>
        <v>1.28</v>
      </c>
      <c r="Q15" s="71">
        <f t="shared" si="1"/>
        <v>51.2</v>
      </c>
      <c r="R15" s="72">
        <v>30.91</v>
      </c>
      <c r="S15" s="72">
        <v>1236.3499999999999</v>
      </c>
      <c r="T15" s="73">
        <f t="shared" si="6"/>
        <v>4.1410546748625043E-2</v>
      </c>
      <c r="U15" s="70">
        <v>1294</v>
      </c>
      <c r="V15" s="73">
        <f t="shared" si="7"/>
        <v>3.956723338485317E-2</v>
      </c>
      <c r="W15" s="72">
        <f t="shared" si="2"/>
        <v>57.650000000000091</v>
      </c>
      <c r="Y15" s="74"/>
    </row>
    <row r="16" spans="1:26" x14ac:dyDescent="0.2">
      <c r="A16" s="59" t="s">
        <v>69</v>
      </c>
      <c r="B16" s="66">
        <f t="shared" si="3"/>
        <v>86.295731985004878</v>
      </c>
      <c r="C16" s="68">
        <f>'31'!L16</f>
        <v>21.466599996269871</v>
      </c>
      <c r="D16" s="70">
        <v>0</v>
      </c>
      <c r="E16" s="70">
        <v>0</v>
      </c>
      <c r="F16" s="68">
        <f>C16</f>
        <v>21.466599996269871</v>
      </c>
      <c r="G16" s="70">
        <v>0</v>
      </c>
      <c r="H16" s="70">
        <v>0</v>
      </c>
      <c r="I16" s="68">
        <f>F16</f>
        <v>21.466599996269871</v>
      </c>
      <c r="J16" s="70">
        <v>0</v>
      </c>
      <c r="K16" s="70">
        <v>0</v>
      </c>
      <c r="L16" s="69">
        <f>I16*1.02</f>
        <v>21.895931996195269</v>
      </c>
      <c r="M16" s="70">
        <v>0</v>
      </c>
      <c r="N16" s="70">
        <v>0</v>
      </c>
      <c r="O16" s="65">
        <v>15.333</v>
      </c>
      <c r="P16" s="70">
        <f>1.02*4.08</f>
        <v>4.1616</v>
      </c>
      <c r="Q16" s="70">
        <f t="shared" si="1"/>
        <v>63.809812800000003</v>
      </c>
      <c r="R16" s="72">
        <v>82.93</v>
      </c>
      <c r="S16" s="70">
        <v>1243.95</v>
      </c>
      <c r="T16" s="73">
        <f t="shared" si="6"/>
        <v>5.0182081273363072E-2</v>
      </c>
      <c r="U16" s="70">
        <v>1394.38</v>
      </c>
      <c r="V16" s="73">
        <f t="shared" si="7"/>
        <v>4.5762140019220007E-2</v>
      </c>
      <c r="W16" s="72">
        <f t="shared" si="2"/>
        <v>150.43000000000006</v>
      </c>
    </row>
    <row r="17" spans="1:25" x14ac:dyDescent="0.2">
      <c r="A17" s="59" t="s">
        <v>17</v>
      </c>
      <c r="B17" s="66">
        <f t="shared" si="3"/>
        <v>198.70400147017446</v>
      </c>
      <c r="C17" s="70">
        <v>0</v>
      </c>
      <c r="D17" s="69">
        <f>'31'!M17*1.02</f>
        <v>49.676000367543615</v>
      </c>
      <c r="E17" s="70">
        <v>0</v>
      </c>
      <c r="F17" s="67">
        <v>0</v>
      </c>
      <c r="G17" s="68">
        <f>D17</f>
        <v>49.676000367543615</v>
      </c>
      <c r="H17" s="67">
        <v>0</v>
      </c>
      <c r="I17" s="67">
        <v>0</v>
      </c>
      <c r="J17" s="68">
        <f>G17</f>
        <v>49.676000367543615</v>
      </c>
      <c r="K17" s="67">
        <v>0</v>
      </c>
      <c r="L17" s="67">
        <v>0</v>
      </c>
      <c r="M17" s="68">
        <f>J17</f>
        <v>49.676000367543615</v>
      </c>
      <c r="N17" s="67">
        <v>0</v>
      </c>
      <c r="O17" s="65">
        <v>75.328999999999994</v>
      </c>
      <c r="P17" s="70">
        <v>1.96</v>
      </c>
      <c r="Q17" s="70">
        <f t="shared" si="1"/>
        <v>147.64483999999999</v>
      </c>
      <c r="R17" s="72">
        <v>32.39</v>
      </c>
      <c r="S17" s="70">
        <v>2814.95</v>
      </c>
      <c r="T17" s="73">
        <f t="shared" si="6"/>
        <v>6.0512503859215805E-2</v>
      </c>
      <c r="U17" s="70">
        <v>3007.88</v>
      </c>
      <c r="V17" s="73">
        <f t="shared" si="7"/>
        <v>4.9086014069710221E-2</v>
      </c>
      <c r="W17" s="72">
        <f t="shared" si="2"/>
        <v>192.93000000000029</v>
      </c>
      <c r="Y17" s="74"/>
    </row>
    <row r="18" spans="1:25" x14ac:dyDescent="0.2">
      <c r="A18" s="59" t="s">
        <v>82</v>
      </c>
      <c r="B18" s="66">
        <f t="shared" si="3"/>
        <v>109.4466589538111</v>
      </c>
      <c r="C18" s="68">
        <f>'31'!L18</f>
        <v>26.372688904532794</v>
      </c>
      <c r="D18" s="67">
        <v>0</v>
      </c>
      <c r="E18" s="70">
        <v>0</v>
      </c>
      <c r="F18" s="69">
        <f>C18*1.05</f>
        <v>27.691323349759436</v>
      </c>
      <c r="G18" s="67">
        <v>0</v>
      </c>
      <c r="H18" s="67">
        <v>0</v>
      </c>
      <c r="I18" s="68">
        <f>F18</f>
        <v>27.691323349759436</v>
      </c>
      <c r="J18" s="67">
        <v>0</v>
      </c>
      <c r="K18" s="67">
        <v>0</v>
      </c>
      <c r="L18" s="68">
        <f>I18</f>
        <v>27.691323349759436</v>
      </c>
      <c r="M18" s="67">
        <v>0</v>
      </c>
      <c r="N18" s="67">
        <v>0</v>
      </c>
      <c r="O18" s="65">
        <v>30</v>
      </c>
      <c r="P18" s="70">
        <f>1.05*1.64</f>
        <v>1.722</v>
      </c>
      <c r="Q18" s="70">
        <f t="shared" si="1"/>
        <v>51.66</v>
      </c>
      <c r="R18" s="72">
        <v>42.25</v>
      </c>
      <c r="S18" s="70">
        <v>1267.49</v>
      </c>
      <c r="T18" s="73">
        <f t="shared" si="6"/>
        <v>4.0757396449704143E-2</v>
      </c>
      <c r="U18" s="70">
        <v>1485</v>
      </c>
      <c r="V18" s="73">
        <f t="shared" si="7"/>
        <v>3.4787878787878784E-2</v>
      </c>
      <c r="W18" s="72">
        <f t="shared" si="2"/>
        <v>217.51</v>
      </c>
    </row>
    <row r="19" spans="1:25" x14ac:dyDescent="0.2">
      <c r="A19" s="59" t="s">
        <v>68</v>
      </c>
      <c r="B19" s="66">
        <f t="shared" si="3"/>
        <v>314.16762647264608</v>
      </c>
      <c r="C19" s="70">
        <v>0</v>
      </c>
      <c r="D19" s="70">
        <v>0</v>
      </c>
      <c r="E19" s="69">
        <f>'31'!N19*1.05</f>
        <v>78.541906618161519</v>
      </c>
      <c r="F19" s="70">
        <v>0</v>
      </c>
      <c r="G19" s="70">
        <v>0</v>
      </c>
      <c r="H19" s="68">
        <f>E19</f>
        <v>78.541906618161519</v>
      </c>
      <c r="I19" s="70">
        <v>0</v>
      </c>
      <c r="J19" s="70">
        <v>0</v>
      </c>
      <c r="K19" s="68">
        <f>H19</f>
        <v>78.541906618161519</v>
      </c>
      <c r="L19" s="70">
        <v>0</v>
      </c>
      <c r="M19" s="70">
        <v>0</v>
      </c>
      <c r="N19" s="68">
        <f>K19</f>
        <v>78.541906618161519</v>
      </c>
      <c r="O19" s="65">
        <v>100</v>
      </c>
      <c r="P19" s="70">
        <v>1.4</v>
      </c>
      <c r="Q19" s="70">
        <f t="shared" si="1"/>
        <v>140</v>
      </c>
      <c r="R19" s="72">
        <v>39.590000000000003</v>
      </c>
      <c r="S19" s="70">
        <v>3962.41</v>
      </c>
      <c r="T19" s="73">
        <f t="shared" si="6"/>
        <v>3.5362465269007319E-2</v>
      </c>
      <c r="U19" s="70">
        <v>4027</v>
      </c>
      <c r="V19" s="73">
        <f t="shared" si="7"/>
        <v>3.4765333995530175E-2</v>
      </c>
      <c r="W19" s="72">
        <f t="shared" si="2"/>
        <v>64.590000000000146</v>
      </c>
    </row>
    <row r="20" spans="1:25" x14ac:dyDescent="0.2">
      <c r="A20" s="59" t="s">
        <v>91</v>
      </c>
      <c r="B20" s="66">
        <f t="shared" si="3"/>
        <v>124.89408529263723</v>
      </c>
      <c r="C20" s="70">
        <v>0</v>
      </c>
      <c r="D20" s="70">
        <v>0</v>
      </c>
      <c r="E20" s="68">
        <f>'31'!N20</f>
        <v>30.09496031147885</v>
      </c>
      <c r="F20" s="70">
        <v>0</v>
      </c>
      <c r="G20" s="70">
        <v>0</v>
      </c>
      <c r="H20" s="69">
        <f>E20*1.05</f>
        <v>31.599708327052795</v>
      </c>
      <c r="I20" s="70">
        <v>0</v>
      </c>
      <c r="J20" s="70">
        <v>0</v>
      </c>
      <c r="K20" s="68">
        <f>H20</f>
        <v>31.599708327052795</v>
      </c>
      <c r="L20" s="70">
        <v>0</v>
      </c>
      <c r="M20" s="70">
        <v>0</v>
      </c>
      <c r="N20" s="68">
        <f>K20</f>
        <v>31.599708327052795</v>
      </c>
      <c r="O20" s="65">
        <v>40</v>
      </c>
      <c r="P20" s="70">
        <v>1.52</v>
      </c>
      <c r="Q20" s="70">
        <f t="shared" si="1"/>
        <v>60.8</v>
      </c>
      <c r="R20" s="72">
        <v>39.590000000000003</v>
      </c>
      <c r="S20" s="70">
        <v>1925.55</v>
      </c>
      <c r="T20" s="73">
        <f>P20/R20</f>
        <v>3.8393533720636523E-2</v>
      </c>
      <c r="U20" s="70">
        <v>2212.8000000000002</v>
      </c>
      <c r="V20" s="73">
        <f>Q20/U20</f>
        <v>2.7476500361532895E-2</v>
      </c>
      <c r="W20" s="72">
        <f t="shared" si="2"/>
        <v>287.25000000000023</v>
      </c>
      <c r="X20" s="74"/>
      <c r="Y20" s="74"/>
    </row>
    <row r="21" spans="1:25" x14ac:dyDescent="0.2">
      <c r="A21" s="59" t="s">
        <v>73</v>
      </c>
      <c r="B21" s="66">
        <f t="shared" si="3"/>
        <v>94.903071390128943</v>
      </c>
      <c r="C21" s="70">
        <v>0</v>
      </c>
      <c r="D21" s="70">
        <v>0</v>
      </c>
      <c r="E21" s="68">
        <f>'31'!N21</f>
        <v>22.868209973525044</v>
      </c>
      <c r="F21" s="70">
        <v>0</v>
      </c>
      <c r="G21" s="70">
        <v>0</v>
      </c>
      <c r="H21" s="69">
        <f>E21*1.05</f>
        <v>24.011620472201297</v>
      </c>
      <c r="I21" s="70">
        <v>0</v>
      </c>
      <c r="J21" s="70">
        <v>0</v>
      </c>
      <c r="K21" s="68">
        <f>H21</f>
        <v>24.011620472201297</v>
      </c>
      <c r="L21" s="70">
        <v>0</v>
      </c>
      <c r="M21" s="70">
        <v>0</v>
      </c>
      <c r="N21" s="68">
        <f>K21</f>
        <v>24.011620472201297</v>
      </c>
      <c r="O21" s="65">
        <v>15</v>
      </c>
      <c r="P21" s="70">
        <v>3.08</v>
      </c>
      <c r="Q21" s="70">
        <f t="shared" si="1"/>
        <v>46.2</v>
      </c>
      <c r="R21" s="72">
        <f>S21/O21</f>
        <v>95.05</v>
      </c>
      <c r="S21" s="70">
        <v>1425.75</v>
      </c>
      <c r="T21" s="73">
        <f t="shared" si="6"/>
        <v>3.2403997895844291E-2</v>
      </c>
      <c r="U21" s="70">
        <v>1354.5</v>
      </c>
      <c r="V21" s="73">
        <f t="shared" si="7"/>
        <v>3.4108527131782945E-2</v>
      </c>
      <c r="W21" s="72">
        <f t="shared" si="2"/>
        <v>-71.25</v>
      </c>
    </row>
    <row r="22" spans="1:25" x14ac:dyDescent="0.2">
      <c r="B22" s="6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P22" s="70"/>
      <c r="Q22" s="70"/>
      <c r="R22" s="72"/>
      <c r="S22" s="70"/>
      <c r="T22" s="73"/>
      <c r="U22" s="70">
        <v>224.52</v>
      </c>
    </row>
    <row r="23" spans="1:25" x14ac:dyDescent="0.2">
      <c r="A23" s="72"/>
      <c r="B23" s="79">
        <f t="shared" ref="B23:N23" si="8">SUM(B3:B21)</f>
        <v>5046.9636655588729</v>
      </c>
      <c r="C23" s="79">
        <f t="shared" si="8"/>
        <v>298.47896473592107</v>
      </c>
      <c r="D23" s="79">
        <f t="shared" si="8"/>
        <v>222.00108006984192</v>
      </c>
      <c r="E23" s="79">
        <f t="shared" si="8"/>
        <v>720.39167000017915</v>
      </c>
      <c r="F23" s="79">
        <f t="shared" si="8"/>
        <v>307.485580466491</v>
      </c>
      <c r="G23" s="79">
        <f t="shared" si="8"/>
        <v>225.65215662151041</v>
      </c>
      <c r="H23" s="79">
        <f t="shared" si="8"/>
        <v>727.80549057372275</v>
      </c>
      <c r="I23" s="79">
        <f t="shared" si="8"/>
        <v>309.97721303214797</v>
      </c>
      <c r="J23" s="79">
        <f t="shared" si="8"/>
        <v>228.14378918716733</v>
      </c>
      <c r="K23" s="79">
        <f t="shared" si="8"/>
        <v>730.29712313937978</v>
      </c>
      <c r="L23" s="79">
        <f t="shared" si="8"/>
        <v>313.30594378530924</v>
      </c>
      <c r="M23" s="79">
        <f t="shared" si="8"/>
        <v>230.63565999749503</v>
      </c>
      <c r="N23" s="79">
        <f t="shared" si="8"/>
        <v>732.78899394970733</v>
      </c>
      <c r="O23" s="80"/>
      <c r="P23" s="64"/>
      <c r="Q23" s="81">
        <f>SUM(Q3:Q21)</f>
        <v>1656.0791987999999</v>
      </c>
      <c r="R23" s="78"/>
      <c r="S23" s="81">
        <f>SUM(S3:S21)</f>
        <v>37541.48000000001</v>
      </c>
      <c r="T23" s="82">
        <f>Q23/S23</f>
        <v>4.4113316757890188E-2</v>
      </c>
      <c r="U23" s="81">
        <f>SUM(U3:U22)</f>
        <v>39461.630000000005</v>
      </c>
      <c r="V23" s="82">
        <f>B23/U23</f>
        <v>0.12789546872642799</v>
      </c>
      <c r="W23" s="78">
        <f>SUM(W3:W22)</f>
        <v>1695.6300000000019</v>
      </c>
    </row>
    <row r="24" spans="1:25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R24" s="72"/>
    </row>
    <row r="25" spans="1:25" x14ac:dyDescent="0.2">
      <c r="A25" s="83">
        <v>2031</v>
      </c>
      <c r="B25" s="70">
        <f>SUM(C25:N25)</f>
        <v>4604.2198381352946</v>
      </c>
      <c r="C25" s="68">
        <f>'31'!C23</f>
        <v>278.60456566772854</v>
      </c>
      <c r="D25" s="68">
        <f>'31'!D23</f>
        <v>208.65532536663673</v>
      </c>
      <c r="E25" s="68">
        <f>'31'!E23</f>
        <v>644.23447662603189</v>
      </c>
      <c r="F25" s="68">
        <f>'31'!F23</f>
        <v>286.98259103563942</v>
      </c>
      <c r="G25" s="68">
        <f>'31'!G23</f>
        <v>212.08997906776455</v>
      </c>
      <c r="H25" s="68">
        <f>'31'!H23</f>
        <v>651.21921347989257</v>
      </c>
      <c r="I25" s="68">
        <f>'31'!I23</f>
        <v>289.32001558584989</v>
      </c>
      <c r="J25" s="68">
        <f>'31'!J23</f>
        <v>214.42740361797507</v>
      </c>
      <c r="K25" s="68">
        <f>'31'!K23</f>
        <v>653.55663803010304</v>
      </c>
      <c r="L25" s="68">
        <f>'31'!L23</f>
        <v>292.47028430151352</v>
      </c>
      <c r="M25" s="68">
        <f>'31'!M23</f>
        <v>216.76505547201614</v>
      </c>
      <c r="N25" s="68">
        <f>'31'!N23</f>
        <v>655.89428988414409</v>
      </c>
      <c r="T25" s="84"/>
    </row>
    <row r="26" spans="1:25" x14ac:dyDescent="0.2">
      <c r="A26" s="83" t="s">
        <v>40</v>
      </c>
      <c r="B26" s="73">
        <f t="shared" ref="B26:N26" si="9">(B23-B25)/B25</f>
        <v>9.6160444763404088E-2</v>
      </c>
      <c r="C26" s="73">
        <f t="shared" si="9"/>
        <v>7.13355110335675E-2</v>
      </c>
      <c r="D26" s="73">
        <f t="shared" si="9"/>
        <v>6.3960767259377743E-2</v>
      </c>
      <c r="E26" s="73">
        <f t="shared" si="9"/>
        <v>0.11821347061864142</v>
      </c>
      <c r="F26" s="73">
        <f t="shared" si="9"/>
        <v>7.1443321202383975E-2</v>
      </c>
      <c r="G26" s="73">
        <f t="shared" si="9"/>
        <v>6.3945395314564293E-2</v>
      </c>
      <c r="H26" s="73">
        <f t="shared" si="9"/>
        <v>0.11760444948265474</v>
      </c>
      <c r="I26" s="73">
        <f t="shared" si="9"/>
        <v>7.1399130144759987E-2</v>
      </c>
      <c r="J26" s="73">
        <f t="shared" si="9"/>
        <v>6.3967502929940037E-2</v>
      </c>
      <c r="K26" s="73">
        <f t="shared" si="9"/>
        <v>0.11741979293574559</v>
      </c>
      <c r="L26" s="73">
        <f t="shared" si="9"/>
        <v>7.1240261326226975E-2</v>
      </c>
      <c r="M26" s="73">
        <f t="shared" si="9"/>
        <v>6.3989117135485635E-2</v>
      </c>
      <c r="N26" s="73">
        <f t="shared" si="9"/>
        <v>0.11723642857013708</v>
      </c>
    </row>
    <row r="27" spans="1:25" x14ac:dyDescent="0.2">
      <c r="B27" s="86"/>
      <c r="T27" s="84"/>
      <c r="U27" s="73"/>
    </row>
    <row r="30" spans="1:25" x14ac:dyDescent="0.2">
      <c r="A30" s="60" t="s">
        <v>44</v>
      </c>
      <c r="B30" s="87" t="s">
        <v>45</v>
      </c>
    </row>
  </sheetData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90" zoomScaleNormal="90" workbookViewId="0">
      <selection activeCell="H7" sqref="H7"/>
    </sheetView>
  </sheetViews>
  <sheetFormatPr defaultRowHeight="15" x14ac:dyDescent="0.25"/>
  <cols>
    <col min="1" max="1" width="4.85546875" style="31" bestFit="1" customWidth="1"/>
    <col min="2" max="4" width="5.7109375" bestFit="1" customWidth="1"/>
    <col min="5" max="6" width="7.28515625" bestFit="1" customWidth="1"/>
    <col min="7" max="7" width="10" bestFit="1" customWidth="1"/>
    <col min="8" max="8" width="10.28515625" bestFit="1" customWidth="1"/>
    <col min="9" max="9" width="10.28515625" customWidth="1"/>
    <col min="10" max="11" width="10" bestFit="1" customWidth="1"/>
  </cols>
  <sheetData>
    <row r="1" spans="1:11" x14ac:dyDescent="0.25">
      <c r="A1" s="16"/>
      <c r="B1" s="55" t="s">
        <v>100</v>
      </c>
      <c r="C1" s="55" t="s">
        <v>101</v>
      </c>
      <c r="D1" s="55" t="s">
        <v>102</v>
      </c>
      <c r="E1" s="55" t="s">
        <v>103</v>
      </c>
      <c r="F1" s="55" t="s">
        <v>107</v>
      </c>
      <c r="G1" s="55" t="s">
        <v>108</v>
      </c>
      <c r="H1" s="1">
        <v>2018</v>
      </c>
      <c r="I1" s="1">
        <v>2019</v>
      </c>
      <c r="J1" s="1">
        <v>2020</v>
      </c>
      <c r="K1" s="1">
        <v>2021</v>
      </c>
    </row>
    <row r="2" spans="1:11" x14ac:dyDescent="0.25">
      <c r="A2" s="32" t="s">
        <v>76</v>
      </c>
      <c r="B2" s="44">
        <v>22</v>
      </c>
      <c r="C2" s="44">
        <v>71.22</v>
      </c>
      <c r="D2" s="44">
        <v>166.14</v>
      </c>
      <c r="E2" s="44">
        <v>291.06</v>
      </c>
      <c r="F2" s="49">
        <v>356.37</v>
      </c>
      <c r="G2" s="26">
        <v>388.28</v>
      </c>
      <c r="H2" s="25">
        <f>SUM(Mthly!I$2:I$4)</f>
        <v>437.89679047999999</v>
      </c>
      <c r="I2" s="25">
        <f>SUM(Mthly!J$2:J$4)</f>
        <v>452.12887180132981</v>
      </c>
      <c r="J2" s="25">
        <f>SUM(Mthly!K$2:K$4)</f>
        <v>480.0431666184067</v>
      </c>
      <c r="K2" s="25">
        <f>SUM(Mthly!L$2:L$4)</f>
        <v>512.13746387481569</v>
      </c>
    </row>
    <row r="3" spans="1:11" x14ac:dyDescent="0.25">
      <c r="A3" s="32" t="s">
        <v>77</v>
      </c>
      <c r="B3" s="44">
        <v>47.5</v>
      </c>
      <c r="C3" s="44">
        <v>110.87</v>
      </c>
      <c r="D3" s="44">
        <v>210.28</v>
      </c>
      <c r="E3" s="56">
        <v>320.44</v>
      </c>
      <c r="F3" s="49">
        <v>355.6</v>
      </c>
      <c r="G3" s="26">
        <v>387.69</v>
      </c>
      <c r="H3" s="25">
        <f>SUM(Mthly!I$5:I$7)</f>
        <v>434.17516492524794</v>
      </c>
      <c r="I3" s="25">
        <f>SUM(Mthly!J$5:J$7)</f>
        <v>459.38474183032724</v>
      </c>
      <c r="J3" s="25">
        <f>SUM(Mthly!K$5:K$7)</f>
        <v>488.15001640022035</v>
      </c>
      <c r="K3" s="25">
        <f>SUM(Mthly!L$5:L$7)</f>
        <v>521.35040565649683</v>
      </c>
    </row>
    <row r="4" spans="1:11" x14ac:dyDescent="0.25">
      <c r="A4" s="32" t="s">
        <v>78</v>
      </c>
      <c r="B4" s="44">
        <v>80.17</v>
      </c>
      <c r="C4" s="44">
        <v>144.41999999999999</v>
      </c>
      <c r="D4" s="44">
        <v>234.9</v>
      </c>
      <c r="E4" s="49">
        <v>336.45</v>
      </c>
      <c r="F4" s="49">
        <v>369.22</v>
      </c>
      <c r="G4" s="25">
        <f>SUM(Mthly!H$8:H$10)</f>
        <v>413.39</v>
      </c>
      <c r="H4" s="25">
        <f>SUM(Mthly!I$8:I$10)</f>
        <v>435.72750950665363</v>
      </c>
      <c r="I4" s="25">
        <f>SUM(Mthly!J$8:J$10)</f>
        <v>461.35393789905345</v>
      </c>
      <c r="J4" s="25">
        <f>SUM(Mthly!K$8:K$10)</f>
        <v>490.62639373965635</v>
      </c>
      <c r="K4" s="25">
        <f>SUM(Mthly!L$8:L$10)</f>
        <v>524.55430992353195</v>
      </c>
    </row>
    <row r="5" spans="1:11" x14ac:dyDescent="0.25">
      <c r="A5" s="32" t="s">
        <v>79</v>
      </c>
      <c r="B5" s="44">
        <v>46.44</v>
      </c>
      <c r="C5" s="44">
        <v>145.75</v>
      </c>
      <c r="D5" s="44">
        <v>286.07</v>
      </c>
      <c r="E5" s="49">
        <v>341.43</v>
      </c>
      <c r="F5" s="49">
        <v>365.61</v>
      </c>
      <c r="G5" s="25">
        <f>SUM(Mthly!H$11:H$13)</f>
        <v>415.23891200000003</v>
      </c>
      <c r="H5" s="25">
        <f>SUM(Mthly!I$11:I$13)</f>
        <v>437.92967786397094</v>
      </c>
      <c r="I5" s="25">
        <f>SUM(Mthly!J$11:J$13)</f>
        <v>463.99893973423036</v>
      </c>
      <c r="J5" s="25">
        <f>SUM(Mthly!K$11:K$13)</f>
        <v>493.82507189121651</v>
      </c>
      <c r="K5" s="25">
        <f>SUM(Mthly!L$11:L$13)</f>
        <v>528.49754118245619</v>
      </c>
    </row>
    <row r="6" spans="1:11" x14ac:dyDescent="0.25">
      <c r="A6" s="30"/>
      <c r="B6" s="51">
        <f t="shared" ref="B6:G6" si="0">SUM(B2:B5)</f>
        <v>196.11</v>
      </c>
      <c r="C6" s="51">
        <f t="shared" si="0"/>
        <v>472.26</v>
      </c>
      <c r="D6" s="51">
        <f t="shared" si="0"/>
        <v>897.38999999999987</v>
      </c>
      <c r="E6" s="51">
        <f t="shared" si="0"/>
        <v>1289.3800000000001</v>
      </c>
      <c r="F6" s="51">
        <f t="shared" si="0"/>
        <v>1446.8000000000002</v>
      </c>
      <c r="G6" s="39">
        <f t="shared" si="0"/>
        <v>1604.5989120000002</v>
      </c>
      <c r="H6" s="39">
        <f t="shared" ref="H6:I6" si="1">SUM(H2:H5)</f>
        <v>1745.7291427758726</v>
      </c>
      <c r="I6" s="39">
        <f t="shared" si="1"/>
        <v>1836.8664912649408</v>
      </c>
      <c r="J6" s="39">
        <f t="shared" ref="J6:K6" si="2">SUM(J2:J5)</f>
        <v>1952.6446486494999</v>
      </c>
      <c r="K6" s="39">
        <f t="shared" si="2"/>
        <v>2086.5397206373009</v>
      </c>
    </row>
    <row r="7" spans="1:11" x14ac:dyDescent="0.25">
      <c r="B7" s="52">
        <f t="shared" ref="B7:I7" si="3">B6-A6</f>
        <v>196.11</v>
      </c>
      <c r="C7" s="52">
        <f t="shared" si="3"/>
        <v>276.14999999999998</v>
      </c>
      <c r="D7" s="52">
        <f t="shared" si="3"/>
        <v>425.12999999999988</v>
      </c>
      <c r="E7" s="52">
        <f t="shared" si="3"/>
        <v>391.99000000000024</v>
      </c>
      <c r="F7" s="52">
        <f t="shared" si="3"/>
        <v>157.42000000000007</v>
      </c>
      <c r="G7" s="4">
        <f t="shared" si="3"/>
        <v>157.79891199999997</v>
      </c>
      <c r="H7" s="4">
        <f t="shared" si="3"/>
        <v>141.13023077587241</v>
      </c>
      <c r="I7" s="4">
        <f t="shared" si="3"/>
        <v>91.137348489068245</v>
      </c>
      <c r="J7" s="4">
        <f t="shared" ref="J7" si="4">J6-I6</f>
        <v>115.77815738455911</v>
      </c>
      <c r="K7" s="4">
        <f t="shared" ref="K7" si="5">K6-J6</f>
        <v>133.89507198780097</v>
      </c>
    </row>
    <row r="8" spans="1:11" x14ac:dyDescent="0.25">
      <c r="A8" s="32"/>
      <c r="B8" s="3"/>
      <c r="C8" s="3"/>
      <c r="D8" s="3"/>
      <c r="E8" s="3"/>
      <c r="F8" s="3"/>
    </row>
  </sheetData>
  <pageMargins left="0.7" right="0.7" top="0.75" bottom="0.75" header="0.3" footer="0.3"/>
  <pageSetup orientation="landscape" r:id="rId1"/>
  <ignoredErrors>
    <ignoredError sqref="B6:H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="90" zoomScaleNormal="90" workbookViewId="0">
      <selection activeCell="B1" sqref="B1"/>
    </sheetView>
  </sheetViews>
  <sheetFormatPr defaultRowHeight="15" x14ac:dyDescent="0.25"/>
  <cols>
    <col min="1" max="1" width="7.28515625" style="58" customWidth="1"/>
    <col min="2" max="2" width="11" style="43" customWidth="1"/>
    <col min="3" max="3" width="9.140625" style="2"/>
    <col min="4" max="4" width="5.140625" customWidth="1"/>
    <col min="5" max="5" width="10" bestFit="1" customWidth="1"/>
  </cols>
  <sheetData>
    <row r="1" spans="1:5" x14ac:dyDescent="0.25">
      <c r="A1" s="40"/>
      <c r="B1" s="40" t="s">
        <v>89</v>
      </c>
      <c r="D1" s="1" t="s">
        <v>106</v>
      </c>
    </row>
    <row r="2" spans="1:5" x14ac:dyDescent="0.25">
      <c r="A2" s="57">
        <v>2012</v>
      </c>
      <c r="B2" s="41">
        <f>Qtrly!B6</f>
        <v>196.11</v>
      </c>
    </row>
    <row r="3" spans="1:5" x14ac:dyDescent="0.25">
      <c r="A3" s="57">
        <v>2013</v>
      </c>
      <c r="B3" s="41">
        <f>Qtrly!C6</f>
        <v>472.26</v>
      </c>
    </row>
    <row r="4" spans="1:5" x14ac:dyDescent="0.25">
      <c r="A4" s="57">
        <v>2014</v>
      </c>
      <c r="B4" s="41">
        <f>Qtrly!D6</f>
        <v>897.38999999999987</v>
      </c>
    </row>
    <row r="5" spans="1:5" x14ac:dyDescent="0.25">
      <c r="A5" s="57">
        <v>2015</v>
      </c>
      <c r="B5" s="41">
        <f>Qtrly!E6</f>
        <v>1289.3800000000001</v>
      </c>
    </row>
    <row r="6" spans="1:5" x14ac:dyDescent="0.25">
      <c r="A6" s="40">
        <v>2016</v>
      </c>
      <c r="B6" s="42">
        <v>1447</v>
      </c>
    </row>
    <row r="7" spans="1:5" x14ac:dyDescent="0.25">
      <c r="A7" s="40">
        <v>2017</v>
      </c>
      <c r="B7" s="42">
        <f>'17'!B23+C7</f>
        <v>1708.5989119999999</v>
      </c>
      <c r="C7" s="2">
        <f>(2700+2500)*0.04/2</f>
        <v>104</v>
      </c>
      <c r="D7" s="18">
        <v>30</v>
      </c>
      <c r="E7" s="4">
        <f>B7/12</f>
        <v>142.38324266666666</v>
      </c>
    </row>
    <row r="8" spans="1:5" x14ac:dyDescent="0.25">
      <c r="A8" s="57">
        <v>2018</v>
      </c>
      <c r="B8" s="41">
        <f>'18'!B23+C8+C7</f>
        <v>2137.8491427758727</v>
      </c>
      <c r="C8" s="2">
        <f>(5500+1703)*0.04</f>
        <v>288.12</v>
      </c>
      <c r="D8" s="18">
        <v>31</v>
      </c>
      <c r="E8" s="4">
        <f t="shared" ref="E8:E42" si="0">B8/12</f>
        <v>178.15409523132271</v>
      </c>
    </row>
    <row r="9" spans="1:5" x14ac:dyDescent="0.25">
      <c r="A9" s="57">
        <v>2019</v>
      </c>
      <c r="B9" s="42">
        <f>'19'!B23+C9+C8+C7</f>
        <v>2532.9864912649405</v>
      </c>
      <c r="C9" s="2">
        <f>(5500+2100)*0.04</f>
        <v>304</v>
      </c>
      <c r="D9" s="18">
        <v>32</v>
      </c>
      <c r="E9" s="4">
        <f t="shared" si="0"/>
        <v>211.0822076054117</v>
      </c>
    </row>
    <row r="10" spans="1:5" x14ac:dyDescent="0.25">
      <c r="A10" s="57">
        <v>2020</v>
      </c>
      <c r="B10" s="42">
        <f>'20'!B23+C10+C9+C8+C7</f>
        <v>2986.1246486494997</v>
      </c>
      <c r="C10" s="2">
        <f>(5500+2934)*0.04</f>
        <v>337.36</v>
      </c>
      <c r="D10" s="18">
        <v>33</v>
      </c>
      <c r="E10" s="4">
        <f t="shared" si="0"/>
        <v>248.84372072079165</v>
      </c>
    </row>
    <row r="11" spans="1:5" x14ac:dyDescent="0.25">
      <c r="A11" s="57">
        <v>2021</v>
      </c>
      <c r="B11" s="42">
        <f>'21'!B23+C7+C8+C9+C10+C11</f>
        <v>3476.0197206373009</v>
      </c>
      <c r="C11" s="2">
        <f>(5500+3400)*0.04</f>
        <v>356</v>
      </c>
      <c r="D11" s="18">
        <v>34</v>
      </c>
      <c r="E11" s="4">
        <f t="shared" si="0"/>
        <v>289.66831005310843</v>
      </c>
    </row>
    <row r="12" spans="1:5" x14ac:dyDescent="0.25">
      <c r="A12" s="57">
        <v>2022</v>
      </c>
      <c r="B12" s="42">
        <f>(B11*1.05)+(B11*0.04)+C12</f>
        <v>4172.8614954946588</v>
      </c>
      <c r="C12" s="2">
        <f>(5500+4100)*0.04</f>
        <v>384</v>
      </c>
      <c r="D12" s="18">
        <v>35</v>
      </c>
      <c r="E12" s="4">
        <f t="shared" si="0"/>
        <v>347.73845795788822</v>
      </c>
    </row>
    <row r="13" spans="1:5" x14ac:dyDescent="0.25">
      <c r="A13" s="57">
        <v>2023</v>
      </c>
      <c r="B13" s="42">
        <f t="shared" ref="B13:B42" si="1">(B12*1.05)+(B12*0.04)+C13</f>
        <v>4932.4190300891787</v>
      </c>
      <c r="C13" s="2">
        <f>(5500+4100)*0.04</f>
        <v>384</v>
      </c>
      <c r="D13" s="18">
        <v>36</v>
      </c>
      <c r="E13" s="4">
        <f t="shared" si="0"/>
        <v>411.03491917409821</v>
      </c>
    </row>
    <row r="14" spans="1:5" x14ac:dyDescent="0.25">
      <c r="A14" s="57">
        <v>2024</v>
      </c>
      <c r="B14" s="42">
        <f t="shared" si="1"/>
        <v>5376.3367427972053</v>
      </c>
      <c r="D14" s="18">
        <v>37</v>
      </c>
      <c r="E14" s="4">
        <f t="shared" si="0"/>
        <v>448.02806189976712</v>
      </c>
    </row>
    <row r="15" spans="1:5" x14ac:dyDescent="0.25">
      <c r="A15" s="57">
        <v>2025</v>
      </c>
      <c r="B15" s="42">
        <f t="shared" si="1"/>
        <v>5860.2070496489541</v>
      </c>
      <c r="D15" s="18">
        <v>38</v>
      </c>
      <c r="E15" s="4">
        <f t="shared" si="0"/>
        <v>488.35058747074618</v>
      </c>
    </row>
    <row r="16" spans="1:5" x14ac:dyDescent="0.25">
      <c r="A16" s="57">
        <v>2026</v>
      </c>
      <c r="B16" s="42">
        <f t="shared" si="1"/>
        <v>6387.6256841173599</v>
      </c>
      <c r="D16" s="18">
        <v>39</v>
      </c>
      <c r="E16" s="4">
        <f t="shared" si="0"/>
        <v>532.30214034311336</v>
      </c>
    </row>
    <row r="17" spans="1:5" x14ac:dyDescent="0.25">
      <c r="A17" s="57">
        <v>2027</v>
      </c>
      <c r="B17" s="42">
        <f t="shared" si="1"/>
        <v>6962.5119956879234</v>
      </c>
      <c r="D17" s="18">
        <v>40</v>
      </c>
      <c r="E17" s="4">
        <f t="shared" si="0"/>
        <v>580.20933297399358</v>
      </c>
    </row>
    <row r="18" spans="1:5" x14ac:dyDescent="0.25">
      <c r="A18" s="57">
        <v>2028</v>
      </c>
      <c r="B18" s="42">
        <f t="shared" si="1"/>
        <v>7589.1380752998366</v>
      </c>
      <c r="D18" s="18">
        <v>41</v>
      </c>
      <c r="E18" s="4">
        <f t="shared" si="0"/>
        <v>632.42817294165309</v>
      </c>
    </row>
    <row r="19" spans="1:5" x14ac:dyDescent="0.25">
      <c r="A19" s="57">
        <v>2029</v>
      </c>
      <c r="B19" s="42">
        <f t="shared" si="1"/>
        <v>8272.160502076822</v>
      </c>
      <c r="D19" s="18">
        <v>42</v>
      </c>
      <c r="E19" s="4">
        <f t="shared" si="0"/>
        <v>689.3467085064018</v>
      </c>
    </row>
    <row r="20" spans="1:5" x14ac:dyDescent="0.25">
      <c r="A20" s="57">
        <v>2030</v>
      </c>
      <c r="B20" s="42">
        <f t="shared" si="1"/>
        <v>9016.6549472637362</v>
      </c>
      <c r="D20" s="18">
        <v>43</v>
      </c>
      <c r="E20" s="4">
        <f t="shared" si="0"/>
        <v>751.38791227197805</v>
      </c>
    </row>
    <row r="21" spans="1:5" x14ac:dyDescent="0.25">
      <c r="A21" s="57">
        <v>2031</v>
      </c>
      <c r="B21" s="42">
        <f t="shared" si="1"/>
        <v>9828.1538925174718</v>
      </c>
      <c r="D21" s="18">
        <v>44</v>
      </c>
      <c r="E21" s="4">
        <f t="shared" si="0"/>
        <v>819.01282437645602</v>
      </c>
    </row>
    <row r="22" spans="1:5" x14ac:dyDescent="0.25">
      <c r="A22" s="57">
        <v>2032</v>
      </c>
      <c r="B22" s="42">
        <f t="shared" si="1"/>
        <v>10712.687742844044</v>
      </c>
      <c r="D22" s="18">
        <v>45</v>
      </c>
      <c r="E22" s="4">
        <f t="shared" si="0"/>
        <v>892.72397857033695</v>
      </c>
    </row>
    <row r="23" spans="1:5" x14ac:dyDescent="0.25">
      <c r="A23" s="57">
        <v>2033</v>
      </c>
      <c r="B23" s="42">
        <f t="shared" si="1"/>
        <v>11676.829639700009</v>
      </c>
      <c r="D23" s="18">
        <v>46</v>
      </c>
      <c r="E23" s="4">
        <f t="shared" si="0"/>
        <v>973.06913664166734</v>
      </c>
    </row>
    <row r="24" spans="1:5" x14ac:dyDescent="0.25">
      <c r="A24" s="57">
        <v>2034</v>
      </c>
      <c r="B24" s="42">
        <f t="shared" si="1"/>
        <v>12727.744307273009</v>
      </c>
      <c r="D24" s="18">
        <v>47</v>
      </c>
      <c r="E24" s="4">
        <f t="shared" si="0"/>
        <v>1060.6453589394175</v>
      </c>
    </row>
    <row r="25" spans="1:5" x14ac:dyDescent="0.25">
      <c r="A25" s="57">
        <v>2035</v>
      </c>
      <c r="B25" s="42">
        <f t="shared" si="1"/>
        <v>13873.24129492758</v>
      </c>
      <c r="D25" s="18">
        <v>48</v>
      </c>
      <c r="E25" s="4">
        <f t="shared" si="0"/>
        <v>1156.1034412439651</v>
      </c>
    </row>
    <row r="26" spans="1:5" x14ac:dyDescent="0.25">
      <c r="A26" s="57">
        <v>2036</v>
      </c>
      <c r="B26" s="42">
        <f t="shared" si="1"/>
        <v>15121.833011471062</v>
      </c>
      <c r="D26" s="18">
        <v>49</v>
      </c>
      <c r="E26" s="4">
        <f t="shared" si="0"/>
        <v>1260.1527509559219</v>
      </c>
    </row>
    <row r="27" spans="1:5" x14ac:dyDescent="0.25">
      <c r="A27" s="57">
        <v>2037</v>
      </c>
      <c r="B27" s="42">
        <f t="shared" si="1"/>
        <v>16482.797982503456</v>
      </c>
      <c r="D27" s="18">
        <v>50</v>
      </c>
      <c r="E27" s="4">
        <f t="shared" si="0"/>
        <v>1373.5664985419546</v>
      </c>
    </row>
    <row r="28" spans="1:5" x14ac:dyDescent="0.25">
      <c r="A28" s="57">
        <v>2038</v>
      </c>
      <c r="B28" s="42">
        <f t="shared" si="1"/>
        <v>17966.249800928766</v>
      </c>
      <c r="D28" s="18">
        <v>51</v>
      </c>
      <c r="E28" s="4">
        <f t="shared" si="0"/>
        <v>1497.1874834107305</v>
      </c>
    </row>
    <row r="29" spans="1:5" x14ac:dyDescent="0.25">
      <c r="A29" s="57">
        <v>2039</v>
      </c>
      <c r="B29" s="42">
        <f t="shared" si="1"/>
        <v>19583.212283012355</v>
      </c>
      <c r="D29" s="18">
        <v>52</v>
      </c>
      <c r="E29" s="4">
        <f t="shared" si="0"/>
        <v>1631.9343569176963</v>
      </c>
    </row>
    <row r="30" spans="1:5" x14ac:dyDescent="0.25">
      <c r="A30" s="57">
        <v>2040</v>
      </c>
      <c r="B30" s="42">
        <f t="shared" si="1"/>
        <v>21345.701388483471</v>
      </c>
      <c r="D30" s="18">
        <v>53</v>
      </c>
      <c r="E30" s="4">
        <f t="shared" si="0"/>
        <v>1778.8084490402891</v>
      </c>
    </row>
    <row r="31" spans="1:5" x14ac:dyDescent="0.25">
      <c r="A31" s="57">
        <v>2041</v>
      </c>
      <c r="B31" s="42">
        <f t="shared" si="1"/>
        <v>23266.814513446985</v>
      </c>
      <c r="D31" s="18">
        <v>54</v>
      </c>
      <c r="E31" s="4">
        <f t="shared" si="0"/>
        <v>1938.9012094539155</v>
      </c>
    </row>
    <row r="32" spans="1:5" x14ac:dyDescent="0.25">
      <c r="A32" s="57">
        <v>2042</v>
      </c>
      <c r="B32" s="42">
        <f t="shared" si="1"/>
        <v>25360.827819657217</v>
      </c>
      <c r="D32" s="18">
        <v>55</v>
      </c>
      <c r="E32" s="4">
        <f t="shared" si="0"/>
        <v>2113.402318304768</v>
      </c>
    </row>
    <row r="33" spans="1:5" x14ac:dyDescent="0.25">
      <c r="A33" s="57">
        <v>2043</v>
      </c>
      <c r="B33" s="42">
        <f t="shared" si="1"/>
        <v>27643.302323426367</v>
      </c>
      <c r="D33" s="18">
        <v>56</v>
      </c>
      <c r="E33" s="4">
        <f t="shared" si="0"/>
        <v>2303.6085269521973</v>
      </c>
    </row>
    <row r="34" spans="1:5" x14ac:dyDescent="0.25">
      <c r="A34" s="57">
        <v>2044</v>
      </c>
      <c r="B34" s="42">
        <f t="shared" si="1"/>
        <v>30131.199532534742</v>
      </c>
      <c r="D34" s="18">
        <v>57</v>
      </c>
      <c r="E34" s="4">
        <f t="shared" si="0"/>
        <v>2510.933294377895</v>
      </c>
    </row>
    <row r="35" spans="1:5" x14ac:dyDescent="0.25">
      <c r="A35" s="57">
        <v>2045</v>
      </c>
      <c r="B35" s="42">
        <f t="shared" si="1"/>
        <v>32843.007490462871</v>
      </c>
      <c r="D35" s="18">
        <v>58</v>
      </c>
      <c r="E35" s="4">
        <f t="shared" si="0"/>
        <v>2736.9172908719061</v>
      </c>
    </row>
    <row r="36" spans="1:5" x14ac:dyDescent="0.25">
      <c r="A36" s="57">
        <v>2046</v>
      </c>
      <c r="B36" s="42">
        <f t="shared" si="1"/>
        <v>35798.878164604532</v>
      </c>
      <c r="D36" s="18">
        <v>59</v>
      </c>
      <c r="E36" s="4">
        <f t="shared" si="0"/>
        <v>2983.2398470503776</v>
      </c>
    </row>
    <row r="37" spans="1:5" x14ac:dyDescent="0.25">
      <c r="A37" s="57">
        <v>2047</v>
      </c>
      <c r="B37" s="42">
        <f t="shared" si="1"/>
        <v>39020.777199418939</v>
      </c>
      <c r="D37" s="18">
        <v>60</v>
      </c>
      <c r="E37" s="4">
        <f t="shared" si="0"/>
        <v>3251.7314332849114</v>
      </c>
    </row>
    <row r="38" spans="1:5" x14ac:dyDescent="0.25">
      <c r="A38" s="57">
        <v>2048</v>
      </c>
      <c r="B38" s="42">
        <f t="shared" si="1"/>
        <v>42532.647147366646</v>
      </c>
      <c r="D38" s="18">
        <v>61</v>
      </c>
      <c r="E38" s="4">
        <f t="shared" si="0"/>
        <v>3544.3872622805538</v>
      </c>
    </row>
    <row r="39" spans="1:5" x14ac:dyDescent="0.25">
      <c r="A39" s="57">
        <v>2049</v>
      </c>
      <c r="B39" s="42">
        <f t="shared" si="1"/>
        <v>46360.585390629647</v>
      </c>
      <c r="D39" s="18">
        <v>62</v>
      </c>
      <c r="E39" s="4">
        <f t="shared" si="0"/>
        <v>3863.3821158858041</v>
      </c>
    </row>
    <row r="40" spans="1:5" x14ac:dyDescent="0.25">
      <c r="A40" s="57">
        <v>2050</v>
      </c>
      <c r="B40" s="42">
        <f t="shared" si="1"/>
        <v>50533.038075786317</v>
      </c>
      <c r="D40" s="18">
        <v>63</v>
      </c>
      <c r="E40" s="4">
        <f t="shared" si="0"/>
        <v>4211.0865063155261</v>
      </c>
    </row>
    <row r="41" spans="1:5" x14ac:dyDescent="0.25">
      <c r="A41" s="57">
        <v>2051</v>
      </c>
      <c r="B41" s="42">
        <f t="shared" si="1"/>
        <v>55081.011502607085</v>
      </c>
      <c r="D41" s="18">
        <v>64</v>
      </c>
      <c r="E41" s="4">
        <f t="shared" si="0"/>
        <v>4590.0842918839235</v>
      </c>
    </row>
    <row r="42" spans="1:5" x14ac:dyDescent="0.25">
      <c r="A42" s="57">
        <v>2052</v>
      </c>
      <c r="B42" s="42">
        <f t="shared" si="1"/>
        <v>60038.302537841722</v>
      </c>
      <c r="D42" s="18">
        <v>65</v>
      </c>
      <c r="E42" s="4">
        <f t="shared" si="0"/>
        <v>5003.1918781534769</v>
      </c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D22" sqref="D22"/>
    </sheetView>
  </sheetViews>
  <sheetFormatPr defaultRowHeight="15" x14ac:dyDescent="0.25"/>
  <cols>
    <col min="1" max="1" width="12.5703125" customWidth="1"/>
    <col min="2" max="14" width="10.7109375" customWidth="1"/>
  </cols>
  <sheetData>
    <row r="1" spans="1:14" x14ac:dyDescent="0.25">
      <c r="B1" s="1" t="s">
        <v>14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3" t="s">
        <v>15</v>
      </c>
    </row>
    <row r="3" spans="1:14" x14ac:dyDescent="0.25">
      <c r="A3" t="s">
        <v>18</v>
      </c>
      <c r="B3" s="7">
        <f>SUM(C3:N3)</f>
        <v>52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10</v>
      </c>
      <c r="I3" s="2">
        <v>0</v>
      </c>
      <c r="J3" s="2">
        <v>0</v>
      </c>
      <c r="K3" s="2">
        <v>21</v>
      </c>
      <c r="L3" s="2">
        <v>0</v>
      </c>
      <c r="M3" s="2">
        <v>0</v>
      </c>
      <c r="N3" s="2">
        <v>21</v>
      </c>
    </row>
    <row r="4" spans="1:14" x14ac:dyDescent="0.25">
      <c r="A4" t="s">
        <v>20</v>
      </c>
      <c r="B4" s="7">
        <f t="shared" ref="B4:B13" si="0">SUM(C4:N4)</f>
        <v>17.5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8.75</v>
      </c>
      <c r="J4" s="2">
        <v>0</v>
      </c>
      <c r="K4" s="2">
        <v>0</v>
      </c>
      <c r="L4" s="2">
        <v>8.75</v>
      </c>
      <c r="M4" s="2">
        <v>0</v>
      </c>
      <c r="N4" s="2">
        <v>0</v>
      </c>
    </row>
    <row r="5" spans="1:14" x14ac:dyDescent="0.25">
      <c r="A5" t="s">
        <v>21</v>
      </c>
      <c r="B5" s="7">
        <f t="shared" si="0"/>
        <v>50.42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50.42</v>
      </c>
      <c r="K5" s="2">
        <v>0</v>
      </c>
      <c r="L5" s="2">
        <v>0</v>
      </c>
      <c r="M5" s="2">
        <v>0</v>
      </c>
      <c r="N5" s="2">
        <v>0</v>
      </c>
    </row>
    <row r="6" spans="1:14" x14ac:dyDescent="0.25">
      <c r="A6" t="s">
        <v>22</v>
      </c>
      <c r="B6" s="7">
        <f>SUM(C6:N6)</f>
        <v>16.689999999999998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8.33</v>
      </c>
      <c r="N6" s="2">
        <v>8.36</v>
      </c>
    </row>
    <row r="7" spans="1:14" x14ac:dyDescent="0.25">
      <c r="B7" s="7">
        <f>SUM(C7:N7)</f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B8" s="8">
        <f t="shared" ref="B8:N8" si="1">SUM(B3:B7)</f>
        <v>136.61000000000001</v>
      </c>
      <c r="C8" s="6">
        <f t="shared" si="1"/>
        <v>0</v>
      </c>
      <c r="D8" s="6">
        <f t="shared" si="1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10</v>
      </c>
      <c r="I8" s="6">
        <f t="shared" si="1"/>
        <v>8.75</v>
      </c>
      <c r="J8" s="6">
        <f t="shared" si="1"/>
        <v>50.42</v>
      </c>
      <c r="K8" s="6">
        <f t="shared" si="1"/>
        <v>21</v>
      </c>
      <c r="L8" s="6">
        <f t="shared" si="1"/>
        <v>8.75</v>
      </c>
      <c r="M8" s="6">
        <f t="shared" si="1"/>
        <v>8.33</v>
      </c>
      <c r="N8" s="6">
        <f t="shared" si="1"/>
        <v>29.36</v>
      </c>
    </row>
    <row r="9" spans="1:1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3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t="s">
        <v>17</v>
      </c>
      <c r="B11" s="7">
        <f t="shared" si="0"/>
        <v>22</v>
      </c>
      <c r="C11" s="2">
        <v>0</v>
      </c>
      <c r="D11" s="2">
        <v>22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t="s">
        <v>19</v>
      </c>
      <c r="B12" s="7">
        <f t="shared" si="0"/>
        <v>37.5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37.5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5">
      <c r="B13" s="7">
        <f t="shared" si="0"/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B14" s="9">
        <f t="shared" ref="B14:N14" si="2">SUM(B11:B13)</f>
        <v>59.5</v>
      </c>
      <c r="C14" s="5">
        <f t="shared" si="2"/>
        <v>0</v>
      </c>
      <c r="D14" s="5">
        <f t="shared" si="2"/>
        <v>22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37.5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</row>
    <row r="16" spans="1:14" ht="15.75" thickBot="1" x14ac:dyDescent="0.3">
      <c r="A16" s="4">
        <f>B16/12</f>
        <v>16.342500000000001</v>
      </c>
      <c r="B16" s="10">
        <f t="shared" ref="B16:N16" si="3">B14+B8</f>
        <v>196.11</v>
      </c>
      <c r="C16" s="10">
        <f t="shared" si="3"/>
        <v>0</v>
      </c>
      <c r="D16" s="10">
        <f t="shared" si="3"/>
        <v>22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47.5</v>
      </c>
      <c r="I16" s="10">
        <f t="shared" si="3"/>
        <v>8.75</v>
      </c>
      <c r="J16" s="10">
        <f t="shared" si="3"/>
        <v>50.42</v>
      </c>
      <c r="K16" s="10">
        <f t="shared" si="3"/>
        <v>21</v>
      </c>
      <c r="L16" s="10">
        <f t="shared" si="3"/>
        <v>8.75</v>
      </c>
      <c r="M16" s="10">
        <f t="shared" si="3"/>
        <v>8.33</v>
      </c>
      <c r="N16" s="10">
        <f t="shared" si="3"/>
        <v>29.36</v>
      </c>
    </row>
    <row r="17" ht="15.75" thickTop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pane xSplit="1" topLeftCell="B1" activePane="topRight" state="frozen"/>
      <selection activeCell="D22" sqref="D22"/>
      <selection pane="topRight" activeCell="D22" sqref="D22"/>
    </sheetView>
  </sheetViews>
  <sheetFormatPr defaultRowHeight="15" x14ac:dyDescent="0.25"/>
  <cols>
    <col min="1" max="1" width="10" customWidth="1"/>
    <col min="2" max="2" width="9.42578125" customWidth="1"/>
    <col min="3" max="14" width="8.42578125" customWidth="1"/>
    <col min="15" max="15" width="9" bestFit="1" customWidth="1"/>
    <col min="16" max="16" width="9.85546875" bestFit="1" customWidth="1"/>
    <col min="17" max="17" width="8.7109375" bestFit="1" customWidth="1"/>
    <col min="18" max="18" width="9.42578125" bestFit="1" customWidth="1"/>
    <col min="19" max="19" width="9.7109375" bestFit="1" customWidth="1"/>
    <col min="20" max="20" width="8.140625" customWidth="1"/>
    <col min="21" max="21" width="13.7109375" customWidth="1"/>
  </cols>
  <sheetData>
    <row r="1" spans="1:21" x14ac:dyDescent="0.25">
      <c r="B1" s="1" t="s">
        <v>14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5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61</v>
      </c>
      <c r="N1" s="1" t="s">
        <v>63</v>
      </c>
      <c r="O1" s="15" t="s">
        <v>26</v>
      </c>
      <c r="P1" s="15" t="s">
        <v>39</v>
      </c>
      <c r="Q1" s="16" t="s">
        <v>38</v>
      </c>
      <c r="R1" s="1" t="s">
        <v>37</v>
      </c>
      <c r="S1" s="15" t="s">
        <v>27</v>
      </c>
      <c r="T1" s="1" t="s">
        <v>64</v>
      </c>
      <c r="U1" s="1" t="s">
        <v>62</v>
      </c>
    </row>
    <row r="2" spans="1:21" x14ac:dyDescent="0.25">
      <c r="A2" s="3" t="s">
        <v>15</v>
      </c>
    </row>
    <row r="3" spans="1:21" x14ac:dyDescent="0.25">
      <c r="A3" t="s">
        <v>18</v>
      </c>
      <c r="B3" s="7">
        <f>SUM(C3:N3)</f>
        <v>50.9</v>
      </c>
      <c r="C3" s="2">
        <v>0</v>
      </c>
      <c r="D3" s="2">
        <v>0</v>
      </c>
      <c r="E3" s="2">
        <v>20.190000000000001</v>
      </c>
      <c r="F3" s="2">
        <v>0</v>
      </c>
      <c r="G3" s="2">
        <v>0</v>
      </c>
      <c r="H3" s="2">
        <v>10.19</v>
      </c>
      <c r="I3" s="2">
        <v>0</v>
      </c>
      <c r="J3" s="2">
        <v>0</v>
      </c>
      <c r="K3" s="2">
        <v>10.26</v>
      </c>
      <c r="L3" s="2">
        <v>0</v>
      </c>
      <c r="M3" s="2">
        <v>0</v>
      </c>
      <c r="N3" s="2">
        <v>10.26</v>
      </c>
      <c r="O3" s="12">
        <v>103.158</v>
      </c>
      <c r="P3" s="14">
        <v>0.4</v>
      </c>
      <c r="Q3" s="14">
        <f>O3*P3</f>
        <v>41.263200000000005</v>
      </c>
      <c r="R3" s="4">
        <f>S3/O3</f>
        <v>11.608115706004382</v>
      </c>
      <c r="S3" s="4">
        <v>1197.47</v>
      </c>
      <c r="T3" s="11">
        <f>P3/R3</f>
        <v>3.4458650321093638E-2</v>
      </c>
    </row>
    <row r="4" spans="1:21" x14ac:dyDescent="0.25">
      <c r="A4" t="s">
        <v>22</v>
      </c>
      <c r="B4" s="7">
        <f t="shared" ref="B4:B11" si="0">SUM(C4:N4)</f>
        <v>137.86000000000004</v>
      </c>
      <c r="C4" s="2">
        <v>8.41</v>
      </c>
      <c r="D4" s="2">
        <v>10.06</v>
      </c>
      <c r="E4" s="2">
        <v>10.06</v>
      </c>
      <c r="F4" s="2">
        <v>9.06</v>
      </c>
      <c r="G4" s="2">
        <v>9.06</v>
      </c>
      <c r="H4" s="2">
        <v>9.06</v>
      </c>
      <c r="I4" s="2">
        <v>13.62</v>
      </c>
      <c r="J4" s="2">
        <v>13.62</v>
      </c>
      <c r="K4" s="2">
        <v>13.62</v>
      </c>
      <c r="L4" s="2">
        <v>13.7</v>
      </c>
      <c r="M4" s="2">
        <v>13.76</v>
      </c>
      <c r="N4" s="2">
        <v>13.83</v>
      </c>
      <c r="O4" s="13">
        <v>76.408000000000001</v>
      </c>
      <c r="P4" s="14">
        <v>2.182248</v>
      </c>
      <c r="Q4" s="14">
        <f>O4*P4</f>
        <v>166.74120518399999</v>
      </c>
      <c r="R4" s="4">
        <f>S4/O4</f>
        <v>42.608496492513872</v>
      </c>
      <c r="S4" s="4">
        <v>3255.63</v>
      </c>
      <c r="T4" s="11">
        <f>P4/R4</f>
        <v>5.1216263882566511E-2</v>
      </c>
    </row>
    <row r="5" spans="1:21" x14ac:dyDescent="0.25">
      <c r="A5" t="s">
        <v>23</v>
      </c>
      <c r="B5" s="7">
        <f t="shared" si="0"/>
        <v>22.5</v>
      </c>
      <c r="C5" s="2">
        <v>0</v>
      </c>
      <c r="D5" s="2">
        <v>0</v>
      </c>
      <c r="E5" s="2">
        <v>22.5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13">
        <v>0</v>
      </c>
      <c r="P5" s="14">
        <v>0</v>
      </c>
      <c r="Q5" s="14">
        <f>O5*P5</f>
        <v>0</v>
      </c>
      <c r="R5" s="4">
        <v>0</v>
      </c>
      <c r="S5" s="4">
        <v>0</v>
      </c>
      <c r="T5" s="11">
        <v>0</v>
      </c>
    </row>
    <row r="6" spans="1:21" x14ac:dyDescent="0.25">
      <c r="A6" t="s">
        <v>24</v>
      </c>
      <c r="B6" s="7">
        <f>SUM(C6:N6)</f>
        <v>201</v>
      </c>
      <c r="C6" s="2">
        <v>0</v>
      </c>
      <c r="D6" s="2">
        <v>0</v>
      </c>
      <c r="E6" s="2">
        <v>0</v>
      </c>
      <c r="F6" s="2">
        <v>24.5</v>
      </c>
      <c r="G6" s="2">
        <v>24.5</v>
      </c>
      <c r="H6" s="2">
        <v>24.5</v>
      </c>
      <c r="I6" s="2">
        <v>24.5</v>
      </c>
      <c r="J6" s="2">
        <v>24.5</v>
      </c>
      <c r="K6" s="2">
        <v>24.5</v>
      </c>
      <c r="L6" s="2">
        <v>17.79</v>
      </c>
      <c r="M6" s="2">
        <v>17.989999999999998</v>
      </c>
      <c r="N6" s="2">
        <v>18.22</v>
      </c>
      <c r="O6" s="13">
        <v>369.11099999999999</v>
      </c>
      <c r="P6" s="14">
        <v>0.6</v>
      </c>
      <c r="Q6" s="14">
        <f>O6*P6</f>
        <v>221.4666</v>
      </c>
      <c r="R6" s="4">
        <f>S6/O6</f>
        <v>6.0900921403046784</v>
      </c>
      <c r="S6" s="4">
        <v>2247.92</v>
      </c>
      <c r="T6" s="11">
        <f>P6/R6</f>
        <v>9.8520676892416087E-2</v>
      </c>
    </row>
    <row r="7" spans="1:21" x14ac:dyDescent="0.25">
      <c r="A7" t="s">
        <v>25</v>
      </c>
      <c r="B7" s="7">
        <f t="shared" si="0"/>
        <v>40.049999999999997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19.8</v>
      </c>
      <c r="K7" s="2">
        <v>0</v>
      </c>
      <c r="L7" s="2">
        <v>0</v>
      </c>
      <c r="M7" s="2">
        <v>20.25</v>
      </c>
      <c r="N7" s="2">
        <v>0</v>
      </c>
      <c r="O7" s="13">
        <f>15.252</f>
        <v>15.252000000000001</v>
      </c>
      <c r="P7" s="14">
        <v>5.4</v>
      </c>
      <c r="Q7" s="14">
        <f>O7*P7</f>
        <v>82.360800000000012</v>
      </c>
      <c r="R7" s="4">
        <f>S7/O7</f>
        <v>80.428796223446099</v>
      </c>
      <c r="S7" s="4">
        <v>1226.7</v>
      </c>
      <c r="T7" s="11">
        <f>P7/R7</f>
        <v>6.7140132061628777E-2</v>
      </c>
    </row>
    <row r="8" spans="1:21" x14ac:dyDescent="0.25">
      <c r="B8" s="8">
        <f>SUM(B3:B7)</f>
        <v>452.31000000000006</v>
      </c>
      <c r="C8" s="6">
        <f t="shared" ref="C8:N8" si="1">SUM(C3:C7)</f>
        <v>8.41</v>
      </c>
      <c r="D8" s="6">
        <f t="shared" si="1"/>
        <v>10.06</v>
      </c>
      <c r="E8" s="6">
        <f t="shared" si="1"/>
        <v>52.75</v>
      </c>
      <c r="F8" s="6">
        <f t="shared" si="1"/>
        <v>33.56</v>
      </c>
      <c r="G8" s="6">
        <f t="shared" si="1"/>
        <v>33.56</v>
      </c>
      <c r="H8" s="6">
        <f t="shared" si="1"/>
        <v>43.75</v>
      </c>
      <c r="I8" s="6">
        <f t="shared" si="1"/>
        <v>38.119999999999997</v>
      </c>
      <c r="J8" s="6">
        <f t="shared" si="1"/>
        <v>57.92</v>
      </c>
      <c r="K8" s="6">
        <f t="shared" si="1"/>
        <v>48.379999999999995</v>
      </c>
      <c r="L8" s="6">
        <f t="shared" si="1"/>
        <v>31.49</v>
      </c>
      <c r="M8" s="6">
        <f t="shared" si="1"/>
        <v>52</v>
      </c>
      <c r="N8" s="6">
        <f t="shared" si="1"/>
        <v>42.31</v>
      </c>
      <c r="Q8" s="5">
        <f>SUM(Q3:Q7)</f>
        <v>511.83180518400002</v>
      </c>
      <c r="S8" s="5">
        <f>SUM(S3:S7)</f>
        <v>7927.72</v>
      </c>
      <c r="T8" s="17">
        <f>Q8/S8</f>
        <v>6.4562295992290339E-2</v>
      </c>
    </row>
    <row r="9" spans="1:2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21" x14ac:dyDescent="0.25">
      <c r="A10" s="3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21" x14ac:dyDescent="0.25">
      <c r="A11" t="s">
        <v>41</v>
      </c>
      <c r="B11" s="7">
        <f t="shared" si="0"/>
        <v>19.95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19.95</v>
      </c>
      <c r="O11" s="2">
        <v>35</v>
      </c>
      <c r="P11" s="2">
        <v>2.2799999999999998</v>
      </c>
      <c r="Q11" s="2">
        <f>O11*P11</f>
        <v>79.8</v>
      </c>
      <c r="R11" s="2">
        <v>43.82</v>
      </c>
      <c r="S11" s="2">
        <v>1533.6</v>
      </c>
      <c r="T11" s="11">
        <f>P11/R11</f>
        <v>5.2031036056595155E-2</v>
      </c>
    </row>
    <row r="12" spans="1:21" x14ac:dyDescent="0.25"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</row>
    <row r="13" spans="1:21" x14ac:dyDescent="0.25">
      <c r="B13" s="9">
        <f t="shared" ref="B13:N13" si="2">SUM(B11:B11)</f>
        <v>19.95</v>
      </c>
      <c r="C13" s="5">
        <f t="shared" si="2"/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2"/>
        <v>0</v>
      </c>
      <c r="M13" s="5">
        <f t="shared" si="2"/>
        <v>0</v>
      </c>
      <c r="N13" s="5">
        <f t="shared" si="2"/>
        <v>19.95</v>
      </c>
      <c r="O13" s="2"/>
      <c r="P13" s="2"/>
      <c r="Q13" s="6">
        <f>SUM(Q11)</f>
        <v>79.8</v>
      </c>
      <c r="S13" s="5">
        <f>SUM(S11)</f>
        <v>1533.6</v>
      </c>
      <c r="T13" s="17">
        <f>Q13/S13</f>
        <v>5.2034428794992177E-2</v>
      </c>
    </row>
    <row r="15" spans="1:21" ht="15.75" thickBot="1" x14ac:dyDescent="0.3">
      <c r="A15" s="4">
        <f>B15/12</f>
        <v>39.355000000000004</v>
      </c>
      <c r="B15" s="10">
        <f t="shared" ref="B15:N15" si="3">B13+B8</f>
        <v>472.26000000000005</v>
      </c>
      <c r="C15" s="10">
        <f t="shared" si="3"/>
        <v>8.41</v>
      </c>
      <c r="D15" s="10">
        <f t="shared" si="3"/>
        <v>10.06</v>
      </c>
      <c r="E15" s="10">
        <f t="shared" si="3"/>
        <v>52.75</v>
      </c>
      <c r="F15" s="10">
        <f t="shared" si="3"/>
        <v>33.56</v>
      </c>
      <c r="G15" s="10">
        <f t="shared" si="3"/>
        <v>33.56</v>
      </c>
      <c r="H15" s="10">
        <f t="shared" si="3"/>
        <v>43.75</v>
      </c>
      <c r="I15" s="10">
        <f t="shared" si="3"/>
        <v>38.119999999999997</v>
      </c>
      <c r="J15" s="10">
        <f t="shared" si="3"/>
        <v>57.92</v>
      </c>
      <c r="K15" s="10">
        <f t="shared" si="3"/>
        <v>48.379999999999995</v>
      </c>
      <c r="L15" s="10">
        <f t="shared" si="3"/>
        <v>31.49</v>
      </c>
      <c r="M15" s="10">
        <f t="shared" si="3"/>
        <v>52</v>
      </c>
      <c r="N15" s="10">
        <f t="shared" si="3"/>
        <v>62.260000000000005</v>
      </c>
      <c r="Q15" s="21">
        <f>Q13+Q8</f>
        <v>591.63180518399997</v>
      </c>
      <c r="S15" s="21">
        <f>S13+S8</f>
        <v>9461.32</v>
      </c>
      <c r="T15" s="22">
        <f>Q15/S15</f>
        <v>6.2531634611660947E-2</v>
      </c>
    </row>
    <row r="16" spans="1:21" ht="15.75" thickTop="1" x14ac:dyDescent="0.25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7" x14ac:dyDescent="0.25">
      <c r="A17" s="18">
        <v>2012</v>
      </c>
      <c r="B17" s="2">
        <v>196.11</v>
      </c>
      <c r="C17" s="2">
        <v>0</v>
      </c>
      <c r="D17" s="2">
        <v>22</v>
      </c>
      <c r="E17" s="2">
        <v>0</v>
      </c>
      <c r="F17" s="2">
        <v>0</v>
      </c>
      <c r="G17" s="2">
        <v>0</v>
      </c>
      <c r="H17" s="2">
        <v>47.5</v>
      </c>
      <c r="I17" s="2">
        <v>8.75</v>
      </c>
      <c r="J17" s="2">
        <v>50.42</v>
      </c>
      <c r="K17" s="2">
        <v>21</v>
      </c>
      <c r="L17" s="2">
        <v>8.75</v>
      </c>
      <c r="M17" s="2">
        <v>8.33</v>
      </c>
      <c r="N17" s="2">
        <v>29.36</v>
      </c>
    </row>
    <row r="18" spans="1:17" x14ac:dyDescent="0.25">
      <c r="A18" s="18" t="s">
        <v>40</v>
      </c>
      <c r="B18" s="11">
        <f>(B15-B17)/B17</f>
        <v>1.4081382897353527</v>
      </c>
      <c r="C18" s="11">
        <v>1</v>
      </c>
      <c r="D18" s="11">
        <f>(D15-D17)/D17</f>
        <v>-0.54272727272727272</v>
      </c>
      <c r="E18" s="11">
        <v>1</v>
      </c>
      <c r="F18" s="11">
        <v>1</v>
      </c>
      <c r="G18" s="11">
        <v>1</v>
      </c>
      <c r="H18" s="11">
        <f t="shared" ref="H18:N18" si="4">(H15-H17)/H17</f>
        <v>-7.8947368421052627E-2</v>
      </c>
      <c r="I18" s="11">
        <f t="shared" si="4"/>
        <v>3.3565714285714283</v>
      </c>
      <c r="J18" s="11">
        <f t="shared" si="4"/>
        <v>0.14875049583498612</v>
      </c>
      <c r="K18" s="11">
        <f t="shared" si="4"/>
        <v>1.3038095238095235</v>
      </c>
      <c r="L18" s="11">
        <f t="shared" si="4"/>
        <v>2.5988571428571428</v>
      </c>
      <c r="M18" s="11">
        <f t="shared" si="4"/>
        <v>5.2424969987995196</v>
      </c>
      <c r="N18" s="11">
        <f t="shared" si="4"/>
        <v>1.1205722070844688</v>
      </c>
    </row>
    <row r="19" spans="1:17" x14ac:dyDescent="0.25">
      <c r="B19" s="19"/>
    </row>
    <row r="21" spans="1:17" x14ac:dyDescent="0.25">
      <c r="A21" s="1" t="s">
        <v>44</v>
      </c>
      <c r="B21" t="s">
        <v>45</v>
      </c>
    </row>
    <row r="23" spans="1:17" x14ac:dyDescent="0.25">
      <c r="Q23" s="4"/>
    </row>
    <row r="25" spans="1:17" x14ac:dyDescent="0.25">
      <c r="Q25" s="4"/>
    </row>
    <row r="26" spans="1:17" x14ac:dyDescent="0.25">
      <c r="Q26" s="4"/>
    </row>
  </sheetData>
  <pageMargins left="0.7" right="0.7" top="0.75" bottom="0.75" header="0.3" footer="0.3"/>
  <pageSetup orientation="portrait" r:id="rId1"/>
  <ignoredErrors>
    <ignoredError sqref="B3:B4 B5:B7 B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workbookViewId="0">
      <pane xSplit="1" topLeftCell="B1" activePane="topRight" state="frozen"/>
      <selection activeCell="D22" sqref="D22"/>
      <selection pane="topRight" activeCell="D22" sqref="D22"/>
    </sheetView>
  </sheetViews>
  <sheetFormatPr defaultRowHeight="15" x14ac:dyDescent="0.25"/>
  <cols>
    <col min="1" max="1" width="10" customWidth="1"/>
    <col min="2" max="2" width="8.85546875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" bestFit="1" customWidth="1"/>
    <col min="16" max="16" width="9.7109375" bestFit="1" customWidth="1"/>
    <col min="17" max="17" width="9.5703125" bestFit="1" customWidth="1"/>
    <col min="18" max="18" width="9.42578125" bestFit="1" customWidth="1"/>
    <col min="19" max="19" width="10.57031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3" x14ac:dyDescent="0.25">
      <c r="B1" s="1" t="s">
        <v>14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5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61</v>
      </c>
      <c r="N1" s="1" t="s">
        <v>63</v>
      </c>
      <c r="O1" s="15" t="s">
        <v>26</v>
      </c>
      <c r="P1" s="15" t="s">
        <v>39</v>
      </c>
      <c r="Q1" s="16" t="s">
        <v>38</v>
      </c>
      <c r="R1" s="1" t="s">
        <v>37</v>
      </c>
      <c r="S1" s="15" t="s">
        <v>27</v>
      </c>
      <c r="T1" s="1" t="s">
        <v>64</v>
      </c>
      <c r="U1" s="1" t="s">
        <v>65</v>
      </c>
      <c r="V1" s="1" t="s">
        <v>62</v>
      </c>
      <c r="W1" s="1" t="s">
        <v>66</v>
      </c>
    </row>
    <row r="2" spans="1:23" x14ac:dyDescent="0.25">
      <c r="A2" s="3" t="s">
        <v>16</v>
      </c>
    </row>
    <row r="3" spans="1:23" x14ac:dyDescent="0.25">
      <c r="A3" t="s">
        <v>24</v>
      </c>
      <c r="B3" s="7">
        <f t="shared" ref="B3:B15" si="0">SUM(C3:N3)</f>
        <v>236.57999999999998</v>
      </c>
      <c r="C3" s="26">
        <v>18.45</v>
      </c>
      <c r="D3" s="26">
        <v>18.68</v>
      </c>
      <c r="E3" s="26">
        <v>18.899999999999999</v>
      </c>
      <c r="F3" s="26">
        <v>19.13</v>
      </c>
      <c r="G3" s="26">
        <v>19.350000000000001</v>
      </c>
      <c r="H3" s="26">
        <v>19.579999999999998</v>
      </c>
      <c r="I3" s="26">
        <v>19.809999999999999</v>
      </c>
      <c r="J3" s="26">
        <v>20.04</v>
      </c>
      <c r="K3" s="26">
        <v>20.28</v>
      </c>
      <c r="L3" s="26">
        <v>20.53</v>
      </c>
      <c r="M3" s="26">
        <v>20.78</v>
      </c>
      <c r="N3" s="26">
        <v>21.05</v>
      </c>
      <c r="O3" s="13">
        <v>420.98</v>
      </c>
      <c r="P3" s="14">
        <v>0.6</v>
      </c>
      <c r="Q3" s="14">
        <f t="shared" ref="Q3:Q15" si="1">O3*P3</f>
        <v>252.58799999999999</v>
      </c>
      <c r="R3" s="4">
        <f t="shared" ref="R3:R15" si="2">S3/O3</f>
        <v>5.3397311036153736</v>
      </c>
      <c r="S3" s="4">
        <v>2247.92</v>
      </c>
      <c r="T3" s="11">
        <f t="shared" ref="T3:T15" si="3">P3/R3</f>
        <v>0.11236520872628919</v>
      </c>
      <c r="U3" s="2">
        <v>1574.76</v>
      </c>
      <c r="V3" s="11">
        <f t="shared" ref="V3:V15" si="4">Q3/U3</f>
        <v>0.16039777489903223</v>
      </c>
      <c r="W3" s="4">
        <f t="shared" ref="W3:W15" si="5">U3-S3</f>
        <v>-673.16000000000008</v>
      </c>
    </row>
    <row r="4" spans="1:23" x14ac:dyDescent="0.25">
      <c r="A4" t="s">
        <v>41</v>
      </c>
      <c r="B4" s="7">
        <f t="shared" si="0"/>
        <v>93.9</v>
      </c>
      <c r="C4" s="26">
        <v>0</v>
      </c>
      <c r="D4" s="26">
        <v>0</v>
      </c>
      <c r="E4" s="26">
        <v>19.95</v>
      </c>
      <c r="F4" s="26">
        <v>0</v>
      </c>
      <c r="G4" s="26">
        <v>0</v>
      </c>
      <c r="H4" s="26">
        <v>20.475000000000001</v>
      </c>
      <c r="I4" s="26">
        <v>0</v>
      </c>
      <c r="J4" s="26">
        <v>0</v>
      </c>
      <c r="K4" s="26">
        <v>20.475000000000001</v>
      </c>
      <c r="L4" s="26">
        <v>0</v>
      </c>
      <c r="M4" s="26">
        <v>0</v>
      </c>
      <c r="N4" s="26">
        <v>33</v>
      </c>
      <c r="O4" s="12">
        <v>55</v>
      </c>
      <c r="P4" s="2">
        <v>2.4</v>
      </c>
      <c r="Q4" s="2">
        <f t="shared" si="1"/>
        <v>132</v>
      </c>
      <c r="R4" s="4">
        <f t="shared" si="2"/>
        <v>43.217272727272722</v>
      </c>
      <c r="S4" s="2">
        <v>2376.9499999999998</v>
      </c>
      <c r="T4" s="11">
        <f t="shared" si="3"/>
        <v>5.5533351563979053E-2</v>
      </c>
      <c r="U4" s="2">
        <v>2146.65</v>
      </c>
      <c r="V4" s="11">
        <f t="shared" si="4"/>
        <v>6.1491160645657184E-2</v>
      </c>
      <c r="W4" s="4">
        <f t="shared" si="5"/>
        <v>-230.29999999999973</v>
      </c>
    </row>
    <row r="5" spans="1:23" x14ac:dyDescent="0.25">
      <c r="A5" t="s">
        <v>18</v>
      </c>
      <c r="B5" s="7">
        <f t="shared" si="0"/>
        <v>52.09</v>
      </c>
      <c r="C5" s="26">
        <v>0</v>
      </c>
      <c r="D5" s="26">
        <v>0</v>
      </c>
      <c r="E5" s="26">
        <v>12.89</v>
      </c>
      <c r="F5" s="26">
        <v>0</v>
      </c>
      <c r="G5" s="26">
        <v>0</v>
      </c>
      <c r="H5" s="26">
        <v>13</v>
      </c>
      <c r="I5" s="26">
        <v>0</v>
      </c>
      <c r="J5" s="26">
        <v>0</v>
      </c>
      <c r="K5" s="26">
        <v>13.1</v>
      </c>
      <c r="L5" s="26">
        <v>0</v>
      </c>
      <c r="M5" s="26">
        <v>0</v>
      </c>
      <c r="N5" s="26">
        <v>13.1</v>
      </c>
      <c r="O5" s="12">
        <v>104.798</v>
      </c>
      <c r="P5" s="14">
        <v>0.5</v>
      </c>
      <c r="Q5" s="14">
        <f t="shared" si="1"/>
        <v>52.399000000000001</v>
      </c>
      <c r="R5" s="4">
        <f t="shared" si="2"/>
        <v>11.426458520200768</v>
      </c>
      <c r="S5" s="4">
        <v>1197.47</v>
      </c>
      <c r="T5" s="11">
        <f t="shared" si="3"/>
        <v>4.3758089973026458E-2</v>
      </c>
      <c r="U5" s="2">
        <v>1626.36</v>
      </c>
      <c r="V5" s="11">
        <f t="shared" si="4"/>
        <v>3.2218573993457789E-2</v>
      </c>
      <c r="W5" s="4">
        <f t="shared" si="5"/>
        <v>428.88999999999987</v>
      </c>
    </row>
    <row r="6" spans="1:23" x14ac:dyDescent="0.25">
      <c r="A6" t="s">
        <v>72</v>
      </c>
      <c r="B6" s="7">
        <f t="shared" si="0"/>
        <v>11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11</v>
      </c>
      <c r="M6" s="26">
        <v>0</v>
      </c>
      <c r="N6" s="26">
        <v>0</v>
      </c>
      <c r="O6" s="12">
        <v>50</v>
      </c>
      <c r="P6" s="14">
        <v>0.88</v>
      </c>
      <c r="Q6" s="14">
        <f t="shared" si="1"/>
        <v>44</v>
      </c>
      <c r="R6" s="4">
        <f t="shared" si="2"/>
        <v>26.154</v>
      </c>
      <c r="S6" s="4">
        <v>1307.7</v>
      </c>
      <c r="T6" s="11">
        <f t="shared" si="3"/>
        <v>3.3646860900818233E-2</v>
      </c>
      <c r="U6" s="2">
        <v>1285</v>
      </c>
      <c r="V6" s="11">
        <f t="shared" si="4"/>
        <v>3.4241245136186774E-2</v>
      </c>
      <c r="W6" s="4">
        <f t="shared" si="5"/>
        <v>-22.700000000000045</v>
      </c>
    </row>
    <row r="7" spans="1:23" x14ac:dyDescent="0.25">
      <c r="A7" t="s">
        <v>74</v>
      </c>
      <c r="B7" s="7">
        <f t="shared" si="0"/>
        <v>13.63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13.63</v>
      </c>
      <c r="N7" s="26">
        <v>0</v>
      </c>
      <c r="O7" s="12">
        <v>25</v>
      </c>
      <c r="P7" s="14">
        <v>2.1800000000000002</v>
      </c>
      <c r="Q7" s="14">
        <f t="shared" si="1"/>
        <v>54.500000000000007</v>
      </c>
      <c r="R7" s="4">
        <f t="shared" si="2"/>
        <v>44.08</v>
      </c>
      <c r="S7" s="4">
        <v>1102</v>
      </c>
      <c r="T7" s="11">
        <f t="shared" si="3"/>
        <v>4.9455535390199645E-2</v>
      </c>
      <c r="U7" s="2">
        <v>1114.25</v>
      </c>
      <c r="V7" s="11">
        <f t="shared" si="4"/>
        <v>4.8911824096926189E-2</v>
      </c>
      <c r="W7" s="4">
        <f t="shared" si="5"/>
        <v>12.25</v>
      </c>
    </row>
    <row r="8" spans="1:23" x14ac:dyDescent="0.25">
      <c r="A8" t="s">
        <v>25</v>
      </c>
      <c r="B8" s="7">
        <f t="shared" si="0"/>
        <v>128.97</v>
      </c>
      <c r="C8" s="26">
        <v>0</v>
      </c>
      <c r="D8" s="26">
        <v>20.74</v>
      </c>
      <c r="E8" s="26">
        <v>0</v>
      </c>
      <c r="F8" s="26">
        <v>0</v>
      </c>
      <c r="G8" s="26">
        <v>35.200000000000003</v>
      </c>
      <c r="H8" s="26">
        <v>0</v>
      </c>
      <c r="I8" s="26">
        <v>0</v>
      </c>
      <c r="J8" s="26">
        <v>36.119999999999997</v>
      </c>
      <c r="K8" s="26">
        <v>0</v>
      </c>
      <c r="L8" s="26">
        <v>0</v>
      </c>
      <c r="M8" s="26">
        <v>36.909999999999997</v>
      </c>
      <c r="N8" s="26">
        <v>0</v>
      </c>
      <c r="O8" s="13">
        <v>26.757999999999999</v>
      </c>
      <c r="P8" s="14">
        <v>5.56</v>
      </c>
      <c r="Q8" s="14">
        <f t="shared" si="1"/>
        <v>148.77447999999998</v>
      </c>
      <c r="R8" s="4">
        <f t="shared" si="2"/>
        <v>90.684655056431723</v>
      </c>
      <c r="S8" s="4">
        <v>2426.54</v>
      </c>
      <c r="T8" s="11">
        <f t="shared" si="3"/>
        <v>6.13113651536756E-2</v>
      </c>
      <c r="U8" s="2">
        <v>2523.9499999999998</v>
      </c>
      <c r="V8" s="11">
        <f t="shared" si="4"/>
        <v>5.8945097961528553E-2</v>
      </c>
      <c r="W8" s="4">
        <f t="shared" si="5"/>
        <v>97.409999999999854</v>
      </c>
    </row>
    <row r="9" spans="1:23" x14ac:dyDescent="0.25">
      <c r="A9" t="s">
        <v>22</v>
      </c>
      <c r="B9" s="7">
        <f t="shared" si="0"/>
        <v>170.78984027199999</v>
      </c>
      <c r="C9" s="26">
        <v>13.92</v>
      </c>
      <c r="D9" s="26">
        <v>13.92</v>
      </c>
      <c r="E9" s="26">
        <v>13.98</v>
      </c>
      <c r="F9" s="26">
        <v>14.07</v>
      </c>
      <c r="G9" s="26">
        <v>14.13</v>
      </c>
      <c r="H9" s="26">
        <v>14.19</v>
      </c>
      <c r="I9" s="26">
        <v>14.269840272000001</v>
      </c>
      <c r="J9" s="26">
        <v>14.33</v>
      </c>
      <c r="K9" s="26">
        <v>14.39</v>
      </c>
      <c r="L9" s="26">
        <v>14.47</v>
      </c>
      <c r="M9" s="26">
        <v>14.53</v>
      </c>
      <c r="N9" s="26">
        <v>14.59</v>
      </c>
      <c r="O9" s="13">
        <v>80.004999999999995</v>
      </c>
      <c r="P9" s="14">
        <v>2.1972</v>
      </c>
      <c r="Q9" s="14">
        <f t="shared" si="1"/>
        <v>175.78698599999998</v>
      </c>
      <c r="R9" s="4">
        <f t="shared" si="2"/>
        <v>40.692831698018878</v>
      </c>
      <c r="S9" s="4">
        <v>3255.63</v>
      </c>
      <c r="T9" s="11">
        <f t="shared" si="3"/>
        <v>5.3994767832953983E-2</v>
      </c>
      <c r="U9" s="2">
        <v>3965.04</v>
      </c>
      <c r="V9" s="11">
        <f t="shared" si="4"/>
        <v>4.4334227649658005E-2</v>
      </c>
      <c r="W9" s="4">
        <f t="shared" si="5"/>
        <v>709.40999999999985</v>
      </c>
    </row>
    <row r="10" spans="1:23" x14ac:dyDescent="0.25">
      <c r="A10" t="s">
        <v>71</v>
      </c>
      <c r="B10" s="7">
        <f t="shared" si="0"/>
        <v>20.8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10.4</v>
      </c>
      <c r="L10" s="26">
        <v>0</v>
      </c>
      <c r="M10" s="26">
        <v>0</v>
      </c>
      <c r="N10" s="26">
        <v>10.4</v>
      </c>
      <c r="O10" s="13">
        <v>40</v>
      </c>
      <c r="P10" s="14">
        <v>1.04</v>
      </c>
      <c r="Q10" s="14">
        <f t="shared" si="1"/>
        <v>41.6</v>
      </c>
      <c r="R10" s="4">
        <v>30.91</v>
      </c>
      <c r="S10" s="4">
        <v>1236.4000000000001</v>
      </c>
      <c r="T10" s="11">
        <f t="shared" si="3"/>
        <v>3.3646069233257844E-2</v>
      </c>
      <c r="U10" s="2">
        <v>1255.5999999999999</v>
      </c>
      <c r="V10" s="11">
        <f t="shared" si="4"/>
        <v>3.3131570563873849E-2</v>
      </c>
      <c r="W10" s="4">
        <f t="shared" si="5"/>
        <v>19.199999999999818</v>
      </c>
    </row>
    <row r="11" spans="1:23" x14ac:dyDescent="0.25">
      <c r="A11" t="s">
        <v>69</v>
      </c>
      <c r="B11" s="7">
        <f t="shared" si="0"/>
        <v>43.69</v>
      </c>
      <c r="C11" s="26">
        <v>0</v>
      </c>
      <c r="D11" s="26">
        <v>0</v>
      </c>
      <c r="E11" s="26">
        <v>0</v>
      </c>
      <c r="F11" s="26">
        <v>14.1</v>
      </c>
      <c r="G11" s="26">
        <v>0</v>
      </c>
      <c r="H11" s="26">
        <v>0</v>
      </c>
      <c r="I11" s="26">
        <v>14.26</v>
      </c>
      <c r="J11" s="26">
        <v>0</v>
      </c>
      <c r="K11" s="26">
        <v>0</v>
      </c>
      <c r="L11" s="26">
        <v>15.33</v>
      </c>
      <c r="M11" s="26">
        <v>0</v>
      </c>
      <c r="N11" s="26">
        <v>0</v>
      </c>
      <c r="O11" s="12">
        <v>15.333</v>
      </c>
      <c r="P11" s="2">
        <v>4</v>
      </c>
      <c r="Q11" s="2">
        <f t="shared" si="1"/>
        <v>61.332000000000001</v>
      </c>
      <c r="R11" s="4">
        <f t="shared" si="2"/>
        <v>81.128937585599687</v>
      </c>
      <c r="S11" s="2">
        <v>1243.95</v>
      </c>
      <c r="T11" s="11">
        <f t="shared" si="3"/>
        <v>4.9304232485228507E-2</v>
      </c>
      <c r="U11" s="2">
        <v>1275.7</v>
      </c>
      <c r="V11" s="11">
        <f t="shared" si="4"/>
        <v>4.8077134122442577E-2</v>
      </c>
      <c r="W11" s="4">
        <f t="shared" si="5"/>
        <v>31.75</v>
      </c>
    </row>
    <row r="12" spans="1:23" x14ac:dyDescent="0.25">
      <c r="A12" t="s">
        <v>17</v>
      </c>
      <c r="B12" s="7">
        <f t="shared" si="0"/>
        <v>34.799999999999997</v>
      </c>
      <c r="C12" s="26">
        <v>0</v>
      </c>
      <c r="D12" s="26">
        <v>0</v>
      </c>
      <c r="E12" s="26">
        <v>0</v>
      </c>
      <c r="F12" s="26">
        <v>0</v>
      </c>
      <c r="G12" s="26">
        <v>11.5</v>
      </c>
      <c r="H12" s="26">
        <v>0</v>
      </c>
      <c r="I12" s="26">
        <v>0</v>
      </c>
      <c r="J12" s="26">
        <v>11.65</v>
      </c>
      <c r="K12" s="26">
        <v>0</v>
      </c>
      <c r="L12" s="26">
        <v>0</v>
      </c>
      <c r="M12" s="26">
        <v>11.65</v>
      </c>
      <c r="N12" s="26">
        <v>0</v>
      </c>
      <c r="O12" s="12">
        <v>25.329000000000001</v>
      </c>
      <c r="P12" s="2">
        <v>1.84</v>
      </c>
      <c r="Q12" s="2">
        <f t="shared" si="1"/>
        <v>46.605360000000005</v>
      </c>
      <c r="R12" s="4">
        <f t="shared" si="2"/>
        <v>31.967310197796994</v>
      </c>
      <c r="S12" s="2">
        <v>809.7</v>
      </c>
      <c r="T12" s="11">
        <f t="shared" si="3"/>
        <v>5.755879955539088E-2</v>
      </c>
      <c r="U12" s="2">
        <v>863.97</v>
      </c>
      <c r="V12" s="11">
        <f t="shared" si="4"/>
        <v>5.3943261918816626E-2</v>
      </c>
      <c r="W12" s="4">
        <f t="shared" si="5"/>
        <v>54.269999999999982</v>
      </c>
    </row>
    <row r="13" spans="1:23" x14ac:dyDescent="0.25">
      <c r="A13" t="s">
        <v>70</v>
      </c>
      <c r="B13" s="7">
        <f t="shared" si="0"/>
        <v>20.8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10.4</v>
      </c>
      <c r="L13" s="26">
        <v>0</v>
      </c>
      <c r="M13" s="29">
        <v>0</v>
      </c>
      <c r="N13" s="26">
        <v>10.4</v>
      </c>
      <c r="O13" s="12">
        <v>20</v>
      </c>
      <c r="P13" s="2">
        <v>2.08</v>
      </c>
      <c r="Q13" s="2">
        <f t="shared" si="1"/>
        <v>41.6</v>
      </c>
      <c r="R13" s="4">
        <f t="shared" si="2"/>
        <v>60.295000000000002</v>
      </c>
      <c r="S13" s="2">
        <v>1205.9000000000001</v>
      </c>
      <c r="T13" s="11">
        <f t="shared" si="3"/>
        <v>3.4497056140641844E-2</v>
      </c>
      <c r="U13" s="2">
        <v>1510.6</v>
      </c>
      <c r="V13" s="11">
        <f t="shared" si="4"/>
        <v>2.7538726333907058E-2</v>
      </c>
      <c r="W13" s="4">
        <f t="shared" si="5"/>
        <v>304.69999999999982</v>
      </c>
    </row>
    <row r="14" spans="1:23" x14ac:dyDescent="0.25">
      <c r="A14" t="s">
        <v>68</v>
      </c>
      <c r="B14" s="7">
        <f t="shared" si="0"/>
        <v>59.886000000000003</v>
      </c>
      <c r="C14" s="26">
        <v>0</v>
      </c>
      <c r="D14" s="26">
        <v>0</v>
      </c>
      <c r="E14" s="26">
        <v>14.616</v>
      </c>
      <c r="F14" s="26">
        <v>0</v>
      </c>
      <c r="G14" s="26">
        <v>0</v>
      </c>
      <c r="H14" s="26">
        <v>15.55</v>
      </c>
      <c r="I14" s="26">
        <v>0</v>
      </c>
      <c r="J14" s="26">
        <v>0</v>
      </c>
      <c r="K14" s="26">
        <v>15.37</v>
      </c>
      <c r="L14" s="26">
        <v>0</v>
      </c>
      <c r="M14" s="26">
        <v>0</v>
      </c>
      <c r="N14" s="26">
        <v>14.35</v>
      </c>
      <c r="O14" s="12">
        <v>40</v>
      </c>
      <c r="P14" s="2">
        <v>1.575</v>
      </c>
      <c r="Q14" s="2">
        <f t="shared" si="1"/>
        <v>63</v>
      </c>
      <c r="R14" s="4">
        <f t="shared" si="2"/>
        <v>39.588749999999997</v>
      </c>
      <c r="S14" s="2">
        <v>1583.55</v>
      </c>
      <c r="T14" s="11">
        <f t="shared" si="3"/>
        <v>3.9784029553850526E-2</v>
      </c>
      <c r="U14" s="2">
        <v>1651.6</v>
      </c>
      <c r="V14" s="11">
        <f t="shared" si="4"/>
        <v>3.8144829256478566E-2</v>
      </c>
      <c r="W14" s="4">
        <f t="shared" si="5"/>
        <v>68.049999999999955</v>
      </c>
    </row>
    <row r="15" spans="1:23" x14ac:dyDescent="0.25">
      <c r="A15" t="s">
        <v>73</v>
      </c>
      <c r="B15" s="7">
        <f t="shared" si="0"/>
        <v>10.35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10.35</v>
      </c>
      <c r="O15" s="12">
        <v>15</v>
      </c>
      <c r="P15" s="2">
        <v>2.76</v>
      </c>
      <c r="Q15" s="2">
        <f t="shared" si="1"/>
        <v>41.4</v>
      </c>
      <c r="R15" s="4">
        <f t="shared" si="2"/>
        <v>95.039999999999992</v>
      </c>
      <c r="S15" s="2">
        <v>1425.6</v>
      </c>
      <c r="T15" s="11">
        <f t="shared" si="3"/>
        <v>2.904040404040404E-2</v>
      </c>
      <c r="U15" s="2">
        <v>1396.05</v>
      </c>
      <c r="V15" s="11">
        <f t="shared" si="4"/>
        <v>2.9655098313097667E-2</v>
      </c>
      <c r="W15" s="4">
        <f t="shared" si="5"/>
        <v>-29.549999999999955</v>
      </c>
    </row>
    <row r="16" spans="1:23" x14ac:dyDescent="0.25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"/>
      <c r="S16" s="2"/>
      <c r="T16" s="11"/>
    </row>
    <row r="17" spans="1:22" x14ac:dyDescent="0.25">
      <c r="A17" s="4"/>
      <c r="B17" s="8">
        <f>SUM(B3:B15)</f>
        <v>897.28584027199997</v>
      </c>
      <c r="C17" s="27">
        <f t="shared" ref="C17:N17" si="6">SUM(C3:C15)</f>
        <v>32.369999999999997</v>
      </c>
      <c r="D17" s="27">
        <f t="shared" si="6"/>
        <v>53.34</v>
      </c>
      <c r="E17" s="27">
        <f t="shared" si="6"/>
        <v>80.335999999999999</v>
      </c>
      <c r="F17" s="27">
        <f t="shared" si="6"/>
        <v>47.300000000000004</v>
      </c>
      <c r="G17" s="27">
        <f t="shared" si="6"/>
        <v>80.180000000000007</v>
      </c>
      <c r="H17" s="27">
        <f t="shared" si="6"/>
        <v>82.795000000000002</v>
      </c>
      <c r="I17" s="27">
        <f t="shared" si="6"/>
        <v>48.339840271999996</v>
      </c>
      <c r="J17" s="27">
        <f t="shared" si="6"/>
        <v>82.14</v>
      </c>
      <c r="K17" s="27">
        <f t="shared" si="6"/>
        <v>104.41500000000002</v>
      </c>
      <c r="L17" s="27">
        <f t="shared" si="6"/>
        <v>61.33</v>
      </c>
      <c r="M17" s="27">
        <f t="shared" si="6"/>
        <v>97.5</v>
      </c>
      <c r="N17" s="27">
        <f t="shared" si="6"/>
        <v>127.24</v>
      </c>
      <c r="O17" s="4"/>
      <c r="Q17" s="5">
        <f>SUM(Q3:Q15)</f>
        <v>1155.585826</v>
      </c>
      <c r="R17" s="4"/>
      <c r="S17" s="5">
        <f>SUM(S3:S15)</f>
        <v>21419.31</v>
      </c>
      <c r="T17" s="17">
        <f>Q17/S17</f>
        <v>5.3950656020198592E-2</v>
      </c>
      <c r="U17" s="5">
        <f>SUM(U3:U16)</f>
        <v>22189.529999999995</v>
      </c>
      <c r="V17" s="17">
        <f>Q17/U17</f>
        <v>5.2077976685400741E-2</v>
      </c>
    </row>
    <row r="18" spans="1:2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4"/>
    </row>
    <row r="19" spans="1:22" x14ac:dyDescent="0.25">
      <c r="A19" s="18">
        <v>2013</v>
      </c>
      <c r="B19" s="2">
        <f>SUM(C19:N19)</f>
        <v>472.26</v>
      </c>
      <c r="C19" s="2">
        <v>8.41</v>
      </c>
      <c r="D19" s="2">
        <v>10.06</v>
      </c>
      <c r="E19" s="2">
        <v>52.75</v>
      </c>
      <c r="F19" s="2">
        <v>33.56</v>
      </c>
      <c r="G19" s="2">
        <v>33.56</v>
      </c>
      <c r="H19" s="2">
        <v>43.75</v>
      </c>
      <c r="I19" s="2">
        <v>38.119999999999997</v>
      </c>
      <c r="J19" s="2">
        <v>57.92</v>
      </c>
      <c r="K19" s="2">
        <v>48.379999999999995</v>
      </c>
      <c r="L19" s="2">
        <v>31.49</v>
      </c>
      <c r="M19" s="2">
        <v>52</v>
      </c>
      <c r="N19" s="2">
        <v>62.26</v>
      </c>
      <c r="P19" s="4"/>
      <c r="S19" s="4"/>
    </row>
    <row r="20" spans="1:22" x14ac:dyDescent="0.25">
      <c r="A20" s="18" t="s">
        <v>40</v>
      </c>
      <c r="B20" s="11">
        <f t="shared" ref="B20:N20" si="7">(B17-B19)/B19</f>
        <v>0.89998272195824336</v>
      </c>
      <c r="C20" s="11">
        <f t="shared" si="7"/>
        <v>2.8489892984542209</v>
      </c>
      <c r="D20" s="11">
        <f t="shared" si="7"/>
        <v>4.3021868787276345</v>
      </c>
      <c r="E20" s="11">
        <f t="shared" si="7"/>
        <v>0.52295734597156396</v>
      </c>
      <c r="F20" s="11">
        <f t="shared" si="7"/>
        <v>0.4094159713945173</v>
      </c>
      <c r="G20" s="11">
        <f t="shared" si="7"/>
        <v>1.3891537544696066</v>
      </c>
      <c r="H20" s="11">
        <f t="shared" si="7"/>
        <v>0.89245714285714295</v>
      </c>
      <c r="I20" s="11">
        <f t="shared" si="7"/>
        <v>0.26809654438614899</v>
      </c>
      <c r="J20" s="11">
        <f t="shared" si="7"/>
        <v>0.41816298342541436</v>
      </c>
      <c r="K20" s="11">
        <f t="shared" si="7"/>
        <v>1.1582265398925182</v>
      </c>
      <c r="L20" s="11">
        <f t="shared" si="7"/>
        <v>0.94760241346459195</v>
      </c>
      <c r="M20" s="11">
        <f t="shared" si="7"/>
        <v>0.875</v>
      </c>
      <c r="N20" s="11">
        <f t="shared" si="7"/>
        <v>1.0436877610022486</v>
      </c>
    </row>
    <row r="21" spans="1:22" x14ac:dyDescent="0.25">
      <c r="B21" s="19"/>
      <c r="P21" s="4"/>
    </row>
    <row r="22" spans="1:22" x14ac:dyDescent="0.25">
      <c r="A22" s="3" t="s">
        <v>56</v>
      </c>
    </row>
    <row r="23" spans="1:22" x14ac:dyDescent="0.25">
      <c r="B23" s="7">
        <f>SUM(C23:N23)</f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4"/>
    </row>
    <row r="24" spans="1:22" x14ac:dyDescent="0.25"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22" x14ac:dyDescent="0.25">
      <c r="B25" s="9">
        <f t="shared" ref="B25:N25" si="8">SUM(B23:B23)</f>
        <v>0</v>
      </c>
      <c r="C25" s="5">
        <f t="shared" si="8"/>
        <v>0</v>
      </c>
      <c r="D25" s="5">
        <f t="shared" si="8"/>
        <v>0</v>
      </c>
      <c r="E25" s="5">
        <f t="shared" si="8"/>
        <v>0</v>
      </c>
      <c r="F25" s="5">
        <f t="shared" si="8"/>
        <v>0</v>
      </c>
      <c r="G25" s="5">
        <f t="shared" si="8"/>
        <v>0</v>
      </c>
      <c r="H25" s="5">
        <f t="shared" si="8"/>
        <v>0</v>
      </c>
      <c r="I25" s="5">
        <f t="shared" si="8"/>
        <v>0</v>
      </c>
      <c r="J25" s="5">
        <f t="shared" si="8"/>
        <v>0</v>
      </c>
      <c r="K25" s="5">
        <f t="shared" si="8"/>
        <v>0</v>
      </c>
      <c r="L25" s="5">
        <f t="shared" si="8"/>
        <v>0</v>
      </c>
      <c r="M25" s="5">
        <f t="shared" si="8"/>
        <v>0</v>
      </c>
      <c r="N25" s="5">
        <f t="shared" si="8"/>
        <v>0</v>
      </c>
      <c r="O25" s="4"/>
    </row>
  </sheetData>
  <sortState ref="A3:W9">
    <sortCondition ref="A3:A9"/>
  </sortState>
  <pageMargins left="0.7" right="0.7" top="0.75" bottom="0.75" header="0.3" footer="0.3"/>
  <pageSetup scale="57" fitToHeight="0" orientation="landscape" r:id="rId1"/>
  <ignoredErrors>
    <ignoredError sqref="B18 B7:B15 B3:B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zoomScale="80" zoomScaleNormal="80" workbookViewId="0">
      <pane xSplit="1" topLeftCell="B1" activePane="topRight" state="frozen"/>
      <selection activeCell="D22" sqref="D22"/>
      <selection pane="topRight" activeCell="D22" sqref="D22"/>
    </sheetView>
  </sheetViews>
  <sheetFormatPr defaultRowHeight="15" x14ac:dyDescent="0.25"/>
  <cols>
    <col min="1" max="1" width="10" customWidth="1"/>
    <col min="2" max="2" width="10" bestFit="1" customWidth="1"/>
    <col min="3" max="3" width="8.28515625" customWidth="1"/>
    <col min="4" max="5" width="8.5703125" customWidth="1"/>
    <col min="6" max="6" width="7.85546875" customWidth="1"/>
    <col min="7" max="7" width="8.28515625" customWidth="1"/>
    <col min="8" max="8" width="8.42578125" customWidth="1"/>
    <col min="9" max="10" width="8.5703125" customWidth="1"/>
    <col min="11" max="11" width="8.28515625" customWidth="1"/>
    <col min="12" max="14" width="8.42578125" customWidth="1"/>
    <col min="15" max="15" width="9.7109375" style="12" bestFit="1" customWidth="1"/>
    <col min="16" max="16" width="9.7109375" bestFit="1" customWidth="1"/>
    <col min="17" max="17" width="10" bestFit="1" customWidth="1"/>
    <col min="18" max="18" width="9.42578125" bestFit="1" customWidth="1"/>
    <col min="19" max="19" width="11.140625" bestFit="1" customWidth="1"/>
    <col min="20" max="20" width="8.140625" customWidth="1"/>
    <col min="21" max="21" width="13.42578125" bestFit="1" customWidth="1"/>
    <col min="22" max="22" width="12.7109375" bestFit="1" customWidth="1"/>
    <col min="23" max="23" width="11" customWidth="1"/>
  </cols>
  <sheetData>
    <row r="1" spans="1:25" x14ac:dyDescent="0.25">
      <c r="B1" s="1" t="s">
        <v>67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5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61</v>
      </c>
      <c r="N1" s="1" t="s">
        <v>63</v>
      </c>
      <c r="O1" s="36" t="s">
        <v>26</v>
      </c>
      <c r="P1" s="16" t="s">
        <v>39</v>
      </c>
      <c r="Q1" s="16" t="s">
        <v>38</v>
      </c>
      <c r="R1" s="16" t="s">
        <v>37</v>
      </c>
      <c r="S1" s="16" t="s">
        <v>27</v>
      </c>
      <c r="T1" s="1" t="s">
        <v>64</v>
      </c>
      <c r="U1" s="1" t="s">
        <v>65</v>
      </c>
      <c r="V1" s="1" t="s">
        <v>62</v>
      </c>
      <c r="W1" s="1" t="s">
        <v>66</v>
      </c>
    </row>
    <row r="2" spans="1:25" x14ac:dyDescent="0.25">
      <c r="A2" s="3" t="s">
        <v>16</v>
      </c>
    </row>
    <row r="3" spans="1:25" x14ac:dyDescent="0.25">
      <c r="A3" t="s">
        <v>24</v>
      </c>
      <c r="B3" s="7">
        <f t="shared" ref="B3:B19" si="0">SUM(C3:N3)</f>
        <v>221.56</v>
      </c>
      <c r="C3" s="26">
        <v>17.07</v>
      </c>
      <c r="D3" s="26">
        <v>17.27</v>
      </c>
      <c r="E3" s="26">
        <v>17.489999999999998</v>
      </c>
      <c r="F3" s="26">
        <v>17.71</v>
      </c>
      <c r="G3" s="26">
        <v>17.93</v>
      </c>
      <c r="H3" s="26">
        <v>18.170000000000002</v>
      </c>
      <c r="I3" s="26">
        <v>18.41</v>
      </c>
      <c r="J3" s="26">
        <v>19.14</v>
      </c>
      <c r="K3" s="26">
        <v>19.14</v>
      </c>
      <c r="L3" s="26">
        <v>19.440000000000001</v>
      </c>
      <c r="M3" s="26">
        <v>19.739999999999998</v>
      </c>
      <c r="N3" s="26">
        <v>20.05</v>
      </c>
      <c r="O3" s="12">
        <v>61.677999999999997</v>
      </c>
      <c r="P3" s="14">
        <v>3.96</v>
      </c>
      <c r="Q3" s="14">
        <f t="shared" ref="Q3:Q19" si="1">O3*P3</f>
        <v>244.24487999999999</v>
      </c>
      <c r="R3" s="4">
        <f t="shared" ref="R3:R9" si="2">S3/O3</f>
        <v>36.44605856221019</v>
      </c>
      <c r="S3" s="4">
        <v>2247.92</v>
      </c>
      <c r="T3" s="11">
        <f t="shared" ref="T3:T19" si="3">P3/R3</f>
        <v>0.10865372433182675</v>
      </c>
      <c r="U3" s="2">
        <v>1265.67</v>
      </c>
      <c r="V3" s="11">
        <f t="shared" ref="V3:V19" si="4">Q3/U3</f>
        <v>0.19297674749342245</v>
      </c>
      <c r="W3" s="4">
        <f t="shared" ref="W3:W19" si="5">U3-S3</f>
        <v>-982.25</v>
      </c>
      <c r="X3" t="s">
        <v>87</v>
      </c>
    </row>
    <row r="4" spans="1:25" x14ac:dyDescent="0.25">
      <c r="A4" t="s">
        <v>83</v>
      </c>
      <c r="B4" s="7">
        <f t="shared" si="0"/>
        <v>21.2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10.54</v>
      </c>
      <c r="J4" s="26">
        <v>0</v>
      </c>
      <c r="K4" s="26">
        <v>0</v>
      </c>
      <c r="L4" s="26">
        <v>10.66</v>
      </c>
      <c r="M4" s="26">
        <v>0</v>
      </c>
      <c r="N4" s="26">
        <v>0</v>
      </c>
      <c r="O4" s="12">
        <v>20</v>
      </c>
      <c r="P4" s="14">
        <v>2.12</v>
      </c>
      <c r="Q4" s="14">
        <v>42.4</v>
      </c>
      <c r="R4" s="4">
        <f t="shared" si="2"/>
        <v>51.681500000000007</v>
      </c>
      <c r="S4" s="4">
        <v>1033.6300000000001</v>
      </c>
      <c r="T4" s="11">
        <f t="shared" si="3"/>
        <v>4.1020481216682947E-2</v>
      </c>
      <c r="U4" s="2">
        <v>845.8</v>
      </c>
      <c r="V4" s="11">
        <f t="shared" si="4"/>
        <v>5.0130054386379762E-2</v>
      </c>
      <c r="W4" s="4">
        <f t="shared" si="5"/>
        <v>-187.83000000000015</v>
      </c>
    </row>
    <row r="5" spans="1:25" x14ac:dyDescent="0.25">
      <c r="A5" t="s">
        <v>41</v>
      </c>
      <c r="B5" s="7">
        <f t="shared" si="0"/>
        <v>130.88</v>
      </c>
      <c r="C5" s="26">
        <v>0</v>
      </c>
      <c r="D5" s="26">
        <v>0</v>
      </c>
      <c r="E5" s="26">
        <v>32.72</v>
      </c>
      <c r="F5" s="26">
        <v>0</v>
      </c>
      <c r="G5" s="26">
        <v>0</v>
      </c>
      <c r="H5" s="26">
        <v>32.72</v>
      </c>
      <c r="I5" s="26">
        <v>0</v>
      </c>
      <c r="J5" s="26">
        <v>0</v>
      </c>
      <c r="K5" s="26">
        <v>32.72</v>
      </c>
      <c r="L5" s="26">
        <v>0</v>
      </c>
      <c r="M5" s="26">
        <v>0</v>
      </c>
      <c r="N5" s="26">
        <v>32.72</v>
      </c>
      <c r="O5" s="12">
        <v>55</v>
      </c>
      <c r="P5" s="2">
        <v>2.4</v>
      </c>
      <c r="Q5" s="2">
        <f t="shared" si="1"/>
        <v>132</v>
      </c>
      <c r="R5" s="4">
        <f t="shared" si="2"/>
        <v>43.217272727272722</v>
      </c>
      <c r="S5" s="2">
        <v>2376.9499999999998</v>
      </c>
      <c r="T5" s="11">
        <f t="shared" si="3"/>
        <v>5.5533351563979053E-2</v>
      </c>
      <c r="U5" s="2">
        <v>1719.85</v>
      </c>
      <c r="V5" s="11">
        <f t="shared" si="4"/>
        <v>7.6750879437160219E-2</v>
      </c>
      <c r="W5" s="4">
        <f t="shared" si="5"/>
        <v>-657.09999999999991</v>
      </c>
      <c r="Y5" s="35"/>
    </row>
    <row r="6" spans="1:25" x14ac:dyDescent="0.25">
      <c r="A6" t="s">
        <v>80</v>
      </c>
      <c r="B6" s="7">
        <f t="shared" si="0"/>
        <v>44.099999999999994</v>
      </c>
      <c r="C6" s="26">
        <v>0</v>
      </c>
      <c r="D6" s="26">
        <v>10.5</v>
      </c>
      <c r="E6" s="26">
        <v>0</v>
      </c>
      <c r="F6" s="26">
        <v>0</v>
      </c>
      <c r="G6" s="26">
        <v>10.5</v>
      </c>
      <c r="H6" s="26">
        <v>0</v>
      </c>
      <c r="I6" s="26">
        <v>0</v>
      </c>
      <c r="J6" s="26">
        <v>11.55</v>
      </c>
      <c r="K6" s="26">
        <v>0</v>
      </c>
      <c r="L6" s="26">
        <v>0</v>
      </c>
      <c r="M6" s="26">
        <v>11.55</v>
      </c>
      <c r="N6" s="26">
        <v>0</v>
      </c>
      <c r="O6" s="12">
        <v>15</v>
      </c>
      <c r="P6" s="2">
        <v>3.08</v>
      </c>
      <c r="Q6" s="2">
        <f t="shared" si="1"/>
        <v>46.2</v>
      </c>
      <c r="R6" s="4">
        <f t="shared" si="2"/>
        <v>87.233333333333334</v>
      </c>
      <c r="S6" s="2">
        <v>1308.5</v>
      </c>
      <c r="T6" s="11">
        <f t="shared" si="3"/>
        <v>3.5307604126862818E-2</v>
      </c>
      <c r="U6" s="2">
        <v>998.1</v>
      </c>
      <c r="V6" s="11">
        <f t="shared" si="4"/>
        <v>4.6287947099489031E-2</v>
      </c>
      <c r="W6" s="4">
        <f t="shared" si="5"/>
        <v>-310.39999999999998</v>
      </c>
      <c r="Y6" s="35"/>
    </row>
    <row r="7" spans="1:25" x14ac:dyDescent="0.25">
      <c r="A7" t="s">
        <v>18</v>
      </c>
      <c r="B7" s="7">
        <f t="shared" si="0"/>
        <v>62.88</v>
      </c>
      <c r="C7" s="26">
        <v>0</v>
      </c>
      <c r="D7" s="26">
        <v>0</v>
      </c>
      <c r="E7" s="26">
        <v>15.72</v>
      </c>
      <c r="F7" s="26">
        <v>0</v>
      </c>
      <c r="G7" s="26">
        <v>0</v>
      </c>
      <c r="H7" s="26">
        <v>15.72</v>
      </c>
      <c r="I7" s="26">
        <v>0</v>
      </c>
      <c r="J7" s="26">
        <v>0</v>
      </c>
      <c r="K7" s="26">
        <v>15.72</v>
      </c>
      <c r="L7" s="26">
        <v>0</v>
      </c>
      <c r="M7" s="26">
        <v>0</v>
      </c>
      <c r="N7" s="26">
        <v>15.72</v>
      </c>
      <c r="O7" s="12">
        <v>104.798</v>
      </c>
      <c r="P7" s="14">
        <v>0.6</v>
      </c>
      <c r="Q7" s="14">
        <f t="shared" si="1"/>
        <v>62.878799999999998</v>
      </c>
      <c r="R7" s="4">
        <f t="shared" si="2"/>
        <v>11.426458520200768</v>
      </c>
      <c r="S7" s="4">
        <v>1197.47</v>
      </c>
      <c r="T7" s="11">
        <f t="shared" si="3"/>
        <v>5.2509707967631748E-2</v>
      </c>
      <c r="U7" s="2">
        <v>1464.02</v>
      </c>
      <c r="V7" s="11">
        <f t="shared" si="4"/>
        <v>4.2949413259381702E-2</v>
      </c>
      <c r="W7" s="4">
        <f t="shared" si="5"/>
        <v>266.54999999999995</v>
      </c>
      <c r="Y7" s="35"/>
    </row>
    <row r="8" spans="1:25" x14ac:dyDescent="0.25">
      <c r="A8" t="s">
        <v>72</v>
      </c>
      <c r="B8" s="7">
        <f t="shared" si="0"/>
        <v>80.5</v>
      </c>
      <c r="C8" s="26">
        <v>11.5</v>
      </c>
      <c r="D8" s="26">
        <v>0</v>
      </c>
      <c r="E8" s="26">
        <v>0</v>
      </c>
      <c r="F8" s="26">
        <v>23</v>
      </c>
      <c r="G8" s="26">
        <v>0</v>
      </c>
      <c r="H8" s="26">
        <v>0</v>
      </c>
      <c r="I8" s="26">
        <v>23</v>
      </c>
      <c r="J8" s="26">
        <v>0</v>
      </c>
      <c r="K8" s="26">
        <v>0</v>
      </c>
      <c r="L8" s="26">
        <v>23</v>
      </c>
      <c r="M8" s="26">
        <v>0</v>
      </c>
      <c r="N8" s="26">
        <v>0</v>
      </c>
      <c r="O8" s="12">
        <v>100</v>
      </c>
      <c r="P8" s="14">
        <v>0.92</v>
      </c>
      <c r="Q8" s="14">
        <f t="shared" si="1"/>
        <v>92</v>
      </c>
      <c r="R8" s="4">
        <f t="shared" si="2"/>
        <v>25.006500000000003</v>
      </c>
      <c r="S8" s="4">
        <v>2500.65</v>
      </c>
      <c r="T8" s="11">
        <f t="shared" si="3"/>
        <v>3.6790434487033369E-2</v>
      </c>
      <c r="U8" s="2">
        <v>3019</v>
      </c>
      <c r="V8" s="11">
        <f t="shared" si="4"/>
        <v>3.0473666777078502E-2</v>
      </c>
      <c r="W8" s="4">
        <f t="shared" si="5"/>
        <v>518.34999999999991</v>
      </c>
      <c r="Y8" s="35"/>
    </row>
    <row r="9" spans="1:25" x14ac:dyDescent="0.25">
      <c r="A9" t="s">
        <v>74</v>
      </c>
      <c r="B9" s="7">
        <f t="shared" si="0"/>
        <v>56.52</v>
      </c>
      <c r="C9" s="26">
        <v>0</v>
      </c>
      <c r="D9" s="26">
        <v>14.13</v>
      </c>
      <c r="E9" s="26">
        <v>0</v>
      </c>
      <c r="F9" s="26">
        <v>0</v>
      </c>
      <c r="G9" s="26">
        <v>14.13</v>
      </c>
      <c r="H9" s="26">
        <v>0</v>
      </c>
      <c r="I9" s="26">
        <v>0</v>
      </c>
      <c r="J9" s="26">
        <v>14.13</v>
      </c>
      <c r="K9" s="26">
        <v>0</v>
      </c>
      <c r="L9" s="26">
        <v>0</v>
      </c>
      <c r="M9" s="26">
        <v>14.13</v>
      </c>
      <c r="N9" s="26">
        <v>0</v>
      </c>
      <c r="O9" s="12">
        <v>25</v>
      </c>
      <c r="P9" s="14">
        <v>2.2599999999999998</v>
      </c>
      <c r="Q9" s="14">
        <f t="shared" si="1"/>
        <v>56.499999999999993</v>
      </c>
      <c r="R9" s="4">
        <f t="shared" si="2"/>
        <v>44.06</v>
      </c>
      <c r="S9" s="4">
        <v>1101.5</v>
      </c>
      <c r="T9" s="11">
        <f t="shared" si="3"/>
        <v>5.1293690422151601E-2</v>
      </c>
      <c r="U9" s="2">
        <v>907</v>
      </c>
      <c r="V9" s="11">
        <f t="shared" si="4"/>
        <v>6.2293274531422263E-2</v>
      </c>
      <c r="W9" s="4">
        <f t="shared" si="5"/>
        <v>-194.5</v>
      </c>
      <c r="Y9" s="35"/>
    </row>
    <row r="10" spans="1:25" x14ac:dyDescent="0.25">
      <c r="A10" t="s">
        <v>81</v>
      </c>
      <c r="B10" s="7">
        <f t="shared" si="0"/>
        <v>44.25</v>
      </c>
      <c r="C10" s="26">
        <v>0</v>
      </c>
      <c r="D10" s="26">
        <v>0</v>
      </c>
      <c r="E10" s="26">
        <v>10.5</v>
      </c>
      <c r="F10" s="26">
        <v>0</v>
      </c>
      <c r="G10" s="26">
        <v>0</v>
      </c>
      <c r="H10" s="26">
        <v>11.25</v>
      </c>
      <c r="I10" s="26">
        <v>0</v>
      </c>
      <c r="J10" s="26">
        <v>0</v>
      </c>
      <c r="K10" s="26">
        <v>11.25</v>
      </c>
      <c r="L10" s="26">
        <v>0</v>
      </c>
      <c r="M10" s="26">
        <v>0</v>
      </c>
      <c r="N10" s="26">
        <v>11.25</v>
      </c>
      <c r="O10" s="12">
        <v>15</v>
      </c>
      <c r="P10" s="14">
        <v>3</v>
      </c>
      <c r="Q10" s="14">
        <f t="shared" si="1"/>
        <v>45</v>
      </c>
      <c r="R10" s="4">
        <v>101.07</v>
      </c>
      <c r="S10" s="4">
        <v>1516.02</v>
      </c>
      <c r="T10" s="11">
        <f t="shared" si="3"/>
        <v>2.9682398337785694E-2</v>
      </c>
      <c r="U10" s="2">
        <v>1536.3</v>
      </c>
      <c r="V10" s="11">
        <f t="shared" si="4"/>
        <v>2.9291154071470416E-2</v>
      </c>
      <c r="W10" s="4">
        <f t="shared" si="5"/>
        <v>20.279999999999973</v>
      </c>
      <c r="Y10" s="35"/>
    </row>
    <row r="11" spans="1:25" x14ac:dyDescent="0.25">
      <c r="A11" t="s">
        <v>75</v>
      </c>
      <c r="B11" s="7">
        <f t="shared" si="0"/>
        <v>113.25999999999999</v>
      </c>
      <c r="C11" s="26">
        <v>0</v>
      </c>
      <c r="D11" s="26">
        <v>26.41</v>
      </c>
      <c r="E11" s="26">
        <v>0</v>
      </c>
      <c r="F11" s="26">
        <v>0</v>
      </c>
      <c r="G11" s="26">
        <v>28.17</v>
      </c>
      <c r="H11" s="26">
        <v>0</v>
      </c>
      <c r="I11" s="26">
        <v>0</v>
      </c>
      <c r="J11" s="26">
        <v>28.75</v>
      </c>
      <c r="K11" s="26">
        <v>0</v>
      </c>
      <c r="L11" s="26">
        <v>0</v>
      </c>
      <c r="M11" s="26">
        <v>29.93</v>
      </c>
      <c r="N11" s="26">
        <v>0</v>
      </c>
      <c r="O11" s="12">
        <v>58.683</v>
      </c>
      <c r="P11" s="14">
        <v>2.04</v>
      </c>
      <c r="Q11" s="14">
        <f t="shared" si="1"/>
        <v>119.71332</v>
      </c>
      <c r="R11" s="4">
        <f>S11/O11</f>
        <v>41.349965066543973</v>
      </c>
      <c r="S11" s="33">
        <v>2426.54</v>
      </c>
      <c r="T11" s="11">
        <f t="shared" si="3"/>
        <v>4.9334987265818822E-2</v>
      </c>
      <c r="U11" s="2">
        <v>922.49</v>
      </c>
      <c r="V11" s="11">
        <f t="shared" si="4"/>
        <v>0.12977194332729894</v>
      </c>
      <c r="W11" s="4">
        <f t="shared" si="5"/>
        <v>-1504.05</v>
      </c>
      <c r="Y11" s="35"/>
    </row>
    <row r="12" spans="1:25" x14ac:dyDescent="0.25">
      <c r="A12" t="s">
        <v>22</v>
      </c>
      <c r="B12" s="7">
        <f t="shared" si="0"/>
        <v>185.27</v>
      </c>
      <c r="C12" s="26">
        <v>14.67</v>
      </c>
      <c r="D12" s="26">
        <v>15.18</v>
      </c>
      <c r="E12" s="26">
        <v>15.23</v>
      </c>
      <c r="F12" s="26">
        <v>15.33</v>
      </c>
      <c r="G12" s="26">
        <v>15.39</v>
      </c>
      <c r="H12" s="26">
        <v>15.45</v>
      </c>
      <c r="I12" s="26">
        <v>15.56</v>
      </c>
      <c r="J12" s="26">
        <v>15.62</v>
      </c>
      <c r="K12" s="26">
        <v>15.68</v>
      </c>
      <c r="L12" s="26">
        <v>15.72</v>
      </c>
      <c r="M12" s="26">
        <v>15.72</v>
      </c>
      <c r="N12" s="26">
        <v>15.72</v>
      </c>
      <c r="O12" s="12">
        <v>82.540999999999997</v>
      </c>
      <c r="P12" s="14">
        <v>2.2799999999999998</v>
      </c>
      <c r="Q12" s="14">
        <f t="shared" si="1"/>
        <v>188.19347999999997</v>
      </c>
      <c r="R12" s="4">
        <f>S12/O12</f>
        <v>39.442580051126107</v>
      </c>
      <c r="S12" s="4">
        <v>3255.63</v>
      </c>
      <c r="T12" s="11">
        <f t="shared" si="3"/>
        <v>5.7805549156384473E-2</v>
      </c>
      <c r="U12" s="2">
        <v>4138.6000000000004</v>
      </c>
      <c r="V12" s="11">
        <f t="shared" si="4"/>
        <v>4.5472739573768892E-2</v>
      </c>
      <c r="W12" s="4">
        <f t="shared" si="5"/>
        <v>882.97000000000025</v>
      </c>
    </row>
    <row r="13" spans="1:25" x14ac:dyDescent="0.25">
      <c r="A13" t="s">
        <v>71</v>
      </c>
      <c r="B13" s="7">
        <f t="shared" si="0"/>
        <v>44.8</v>
      </c>
      <c r="C13" s="26">
        <v>0</v>
      </c>
      <c r="D13" s="26">
        <v>0</v>
      </c>
      <c r="E13" s="26">
        <v>11.2</v>
      </c>
      <c r="F13" s="26">
        <v>0</v>
      </c>
      <c r="G13" s="26">
        <v>0</v>
      </c>
      <c r="H13" s="26">
        <v>11.2</v>
      </c>
      <c r="I13" s="26">
        <v>0</v>
      </c>
      <c r="J13" s="26">
        <v>0</v>
      </c>
      <c r="K13" s="26">
        <v>11.2</v>
      </c>
      <c r="L13" s="26">
        <v>0</v>
      </c>
      <c r="M13" s="26">
        <v>0</v>
      </c>
      <c r="N13" s="26">
        <v>11.2</v>
      </c>
      <c r="O13" s="13">
        <v>40</v>
      </c>
      <c r="P13" s="14">
        <v>1.1200000000000001</v>
      </c>
      <c r="Q13" s="14">
        <f t="shared" si="1"/>
        <v>44.800000000000004</v>
      </c>
      <c r="R13" s="4">
        <v>30.91</v>
      </c>
      <c r="S13" s="4">
        <v>1236.4000000000001</v>
      </c>
      <c r="T13" s="11">
        <f t="shared" si="3"/>
        <v>3.6234228405046913E-2</v>
      </c>
      <c r="U13" s="2">
        <v>1301.2</v>
      </c>
      <c r="V13" s="11">
        <f t="shared" si="4"/>
        <v>3.4429757147248698E-2</v>
      </c>
      <c r="W13" s="4">
        <f t="shared" si="5"/>
        <v>64.799999999999955</v>
      </c>
    </row>
    <row r="14" spans="1:25" x14ac:dyDescent="0.25">
      <c r="A14" t="s">
        <v>69</v>
      </c>
      <c r="B14" s="7">
        <f t="shared" si="0"/>
        <v>61.63</v>
      </c>
      <c r="C14" s="26">
        <v>15.33</v>
      </c>
      <c r="D14" s="2">
        <v>0</v>
      </c>
      <c r="E14" s="2">
        <v>0</v>
      </c>
      <c r="F14" s="26">
        <v>15.33</v>
      </c>
      <c r="G14" s="2">
        <v>0</v>
      </c>
      <c r="H14" s="2">
        <v>0</v>
      </c>
      <c r="I14" s="26">
        <v>15.33</v>
      </c>
      <c r="J14" s="2">
        <v>0</v>
      </c>
      <c r="K14" s="2">
        <v>0</v>
      </c>
      <c r="L14" s="26">
        <v>15.64</v>
      </c>
      <c r="M14" s="2">
        <v>0</v>
      </c>
      <c r="N14" s="2">
        <v>0</v>
      </c>
      <c r="O14" s="12">
        <v>15.333</v>
      </c>
      <c r="P14" s="2">
        <v>4.08</v>
      </c>
      <c r="Q14" s="2">
        <f t="shared" si="1"/>
        <v>62.558640000000004</v>
      </c>
      <c r="R14" s="4">
        <v>82.93</v>
      </c>
      <c r="S14" s="2">
        <v>1243.95</v>
      </c>
      <c r="T14" s="11">
        <f t="shared" si="3"/>
        <v>4.9198118895453995E-2</v>
      </c>
      <c r="U14" s="2">
        <v>1361.11</v>
      </c>
      <c r="V14" s="11">
        <f t="shared" si="4"/>
        <v>4.5961487315499858E-2</v>
      </c>
      <c r="W14" s="4">
        <f t="shared" si="5"/>
        <v>117.15999999999985</v>
      </c>
    </row>
    <row r="15" spans="1:25" x14ac:dyDescent="0.25">
      <c r="A15" t="s">
        <v>17</v>
      </c>
      <c r="B15" s="7">
        <f t="shared" si="0"/>
        <v>47.6</v>
      </c>
      <c r="C15" s="2">
        <v>0</v>
      </c>
      <c r="D15" s="26">
        <v>11.9</v>
      </c>
      <c r="E15" s="2">
        <v>0</v>
      </c>
      <c r="F15" s="26">
        <v>0</v>
      </c>
      <c r="G15" s="26">
        <v>11.9</v>
      </c>
      <c r="H15" s="26">
        <v>0</v>
      </c>
      <c r="I15" s="26">
        <v>0</v>
      </c>
      <c r="J15" s="26">
        <v>11.9</v>
      </c>
      <c r="K15" s="26">
        <v>0</v>
      </c>
      <c r="L15" s="26">
        <v>0</v>
      </c>
      <c r="M15" s="26">
        <v>11.9</v>
      </c>
      <c r="N15" s="26">
        <v>0</v>
      </c>
      <c r="O15" s="12">
        <v>25.329000000000001</v>
      </c>
      <c r="P15" s="2">
        <v>1.88</v>
      </c>
      <c r="Q15" s="2">
        <f t="shared" si="1"/>
        <v>47.618519999999997</v>
      </c>
      <c r="R15" s="4">
        <v>32.39</v>
      </c>
      <c r="S15" s="2">
        <v>809.7</v>
      </c>
      <c r="T15" s="11">
        <f t="shared" si="3"/>
        <v>5.8042605742513118E-2</v>
      </c>
      <c r="U15" s="2">
        <v>857.38</v>
      </c>
      <c r="V15" s="11">
        <f t="shared" si="4"/>
        <v>5.5539574051179173E-2</v>
      </c>
      <c r="W15" s="4">
        <f t="shared" si="5"/>
        <v>47.67999999999995</v>
      </c>
    </row>
    <row r="16" spans="1:25" x14ac:dyDescent="0.25">
      <c r="A16" t="s">
        <v>82</v>
      </c>
      <c r="B16" s="7">
        <f t="shared" si="0"/>
        <v>36.01</v>
      </c>
      <c r="C16" s="2">
        <v>0</v>
      </c>
      <c r="D16" s="26">
        <v>0</v>
      </c>
      <c r="E16" s="2">
        <v>0</v>
      </c>
      <c r="F16" s="26">
        <v>12.63</v>
      </c>
      <c r="G16" s="26">
        <v>0</v>
      </c>
      <c r="H16" s="26">
        <v>0</v>
      </c>
      <c r="I16" s="26">
        <v>11.73</v>
      </c>
      <c r="J16" s="26">
        <v>0</v>
      </c>
      <c r="K16" s="26">
        <v>0</v>
      </c>
      <c r="L16" s="26">
        <v>11.65</v>
      </c>
      <c r="M16" s="26">
        <v>0</v>
      </c>
      <c r="N16" s="26">
        <v>0</v>
      </c>
      <c r="O16" s="12">
        <v>30</v>
      </c>
      <c r="P16" s="2">
        <v>1.64</v>
      </c>
      <c r="Q16" s="2">
        <f t="shared" si="1"/>
        <v>49.199999999999996</v>
      </c>
      <c r="R16" s="4">
        <v>42.25</v>
      </c>
      <c r="S16" s="2">
        <v>1267.49</v>
      </c>
      <c r="T16" s="11">
        <f t="shared" si="3"/>
        <v>3.8816568047337276E-2</v>
      </c>
      <c r="U16" s="2">
        <v>1173</v>
      </c>
      <c r="V16" s="11">
        <f t="shared" si="4"/>
        <v>4.1943734015345263E-2</v>
      </c>
      <c r="W16" s="4">
        <f t="shared" si="5"/>
        <v>-94.490000000000009</v>
      </c>
    </row>
    <row r="17" spans="1:25" x14ac:dyDescent="0.25">
      <c r="A17" t="s">
        <v>70</v>
      </c>
      <c r="B17" s="7">
        <f t="shared" si="0"/>
        <v>43.2</v>
      </c>
      <c r="C17" s="2">
        <v>0</v>
      </c>
      <c r="D17" s="2">
        <v>0</v>
      </c>
      <c r="E17" s="26">
        <v>10.4</v>
      </c>
      <c r="F17" s="26">
        <v>0</v>
      </c>
      <c r="G17" s="26">
        <v>0</v>
      </c>
      <c r="H17" s="26">
        <v>10.4</v>
      </c>
      <c r="I17" s="26">
        <v>0</v>
      </c>
      <c r="J17" s="26">
        <v>0</v>
      </c>
      <c r="K17" s="26">
        <v>11.2</v>
      </c>
      <c r="L17" s="26">
        <v>0</v>
      </c>
      <c r="M17" s="29">
        <v>0</v>
      </c>
      <c r="N17" s="26">
        <v>11.2</v>
      </c>
      <c r="O17" s="12">
        <v>20</v>
      </c>
      <c r="P17" s="2">
        <v>2.2400000000000002</v>
      </c>
      <c r="Q17" s="2">
        <f t="shared" si="1"/>
        <v>44.800000000000004</v>
      </c>
      <c r="R17" s="4">
        <f>S17/O17</f>
        <v>60.295000000000002</v>
      </c>
      <c r="S17" s="2">
        <v>1205.9000000000001</v>
      </c>
      <c r="T17" s="11">
        <f t="shared" si="3"/>
        <v>3.715067584376814E-2</v>
      </c>
      <c r="U17" s="2">
        <v>1453.2</v>
      </c>
      <c r="V17" s="11">
        <f t="shared" si="4"/>
        <v>3.0828516377649329E-2</v>
      </c>
      <c r="W17" s="4">
        <f t="shared" si="5"/>
        <v>247.29999999999995</v>
      </c>
    </row>
    <row r="18" spans="1:25" x14ac:dyDescent="0.25">
      <c r="A18" t="s">
        <v>68</v>
      </c>
      <c r="B18" s="7">
        <f t="shared" si="0"/>
        <v>52.24</v>
      </c>
      <c r="C18" s="2">
        <v>0</v>
      </c>
      <c r="D18" s="2">
        <v>0</v>
      </c>
      <c r="E18" s="26">
        <v>13.21</v>
      </c>
      <c r="F18" s="2">
        <v>0</v>
      </c>
      <c r="G18" s="2">
        <v>0</v>
      </c>
      <c r="H18" s="26">
        <v>12.56</v>
      </c>
      <c r="I18" s="2">
        <v>0</v>
      </c>
      <c r="J18" s="2">
        <v>0</v>
      </c>
      <c r="K18" s="26">
        <v>12.93</v>
      </c>
      <c r="L18" s="2">
        <v>0</v>
      </c>
      <c r="M18" s="2">
        <v>0</v>
      </c>
      <c r="N18" s="26">
        <v>13.54</v>
      </c>
      <c r="O18" s="12">
        <v>40</v>
      </c>
      <c r="P18" s="2">
        <v>1.58</v>
      </c>
      <c r="Q18" s="2">
        <f t="shared" si="1"/>
        <v>63.2</v>
      </c>
      <c r="R18" s="4">
        <v>39.590000000000003</v>
      </c>
      <c r="S18" s="2">
        <v>1583.55</v>
      </c>
      <c r="T18" s="11">
        <f t="shared" si="3"/>
        <v>3.9909067946451125E-2</v>
      </c>
      <c r="U18" s="2">
        <v>1712</v>
      </c>
      <c r="V18" s="11">
        <f t="shared" si="4"/>
        <v>3.6915887850467288E-2</v>
      </c>
      <c r="W18" s="4">
        <f t="shared" si="5"/>
        <v>128.45000000000005</v>
      </c>
      <c r="Y18" s="35"/>
    </row>
    <row r="19" spans="1:25" x14ac:dyDescent="0.25">
      <c r="A19" t="s">
        <v>73</v>
      </c>
      <c r="B19" s="7">
        <f t="shared" si="0"/>
        <v>43.2</v>
      </c>
      <c r="C19" s="2">
        <v>0</v>
      </c>
      <c r="D19" s="2">
        <v>0</v>
      </c>
      <c r="E19" s="26">
        <v>10.35</v>
      </c>
      <c r="F19" s="2">
        <v>0</v>
      </c>
      <c r="G19" s="2">
        <v>0</v>
      </c>
      <c r="H19" s="26">
        <v>10.95</v>
      </c>
      <c r="I19" s="2">
        <v>0</v>
      </c>
      <c r="J19" s="2">
        <v>0</v>
      </c>
      <c r="K19" s="26">
        <v>10.95</v>
      </c>
      <c r="L19" s="2">
        <v>0</v>
      </c>
      <c r="M19" s="2">
        <v>0</v>
      </c>
      <c r="N19" s="26">
        <v>10.95</v>
      </c>
      <c r="O19" s="12">
        <v>15</v>
      </c>
      <c r="P19" s="2">
        <v>2.92</v>
      </c>
      <c r="Q19" s="2">
        <f t="shared" si="1"/>
        <v>43.8</v>
      </c>
      <c r="R19" s="4">
        <f>S19/O19</f>
        <v>95.039999999999992</v>
      </c>
      <c r="S19" s="2">
        <v>1425.6</v>
      </c>
      <c r="T19" s="11">
        <f t="shared" si="3"/>
        <v>3.0723905723905726E-2</v>
      </c>
      <c r="U19" s="2">
        <v>1119.45</v>
      </c>
      <c r="V19" s="11">
        <f t="shared" si="4"/>
        <v>3.9126356693018886E-2</v>
      </c>
      <c r="W19" s="4">
        <f t="shared" si="5"/>
        <v>-306.14999999999986</v>
      </c>
      <c r="Y19" s="35"/>
    </row>
    <row r="20" spans="1:25" x14ac:dyDescent="0.25">
      <c r="A20" t="s">
        <v>59</v>
      </c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P20" s="2"/>
      <c r="Q20" s="2"/>
      <c r="R20" s="4"/>
      <c r="S20" s="2"/>
      <c r="T20" s="11"/>
      <c r="U20" s="2">
        <v>703.46</v>
      </c>
    </row>
    <row r="21" spans="1:25" x14ac:dyDescent="0.25">
      <c r="A21" s="4"/>
      <c r="B21" s="8">
        <f>SUM(B3:B19)</f>
        <v>1289.0999999999999</v>
      </c>
      <c r="C21" s="27">
        <f>SUM(C3:C19)</f>
        <v>58.57</v>
      </c>
      <c r="D21" s="27">
        <f t="shared" ref="D21:N21" si="6">SUM(D3:D19)</f>
        <v>95.390000000000015</v>
      </c>
      <c r="E21" s="27">
        <f t="shared" si="6"/>
        <v>136.82</v>
      </c>
      <c r="F21" s="27">
        <f t="shared" si="6"/>
        <v>84</v>
      </c>
      <c r="G21" s="27">
        <f t="shared" si="6"/>
        <v>98.02000000000001</v>
      </c>
      <c r="H21" s="27">
        <f t="shared" si="6"/>
        <v>138.42000000000002</v>
      </c>
      <c r="I21" s="27">
        <f t="shared" si="6"/>
        <v>94.570000000000007</v>
      </c>
      <c r="J21" s="27">
        <f t="shared" si="6"/>
        <v>101.09</v>
      </c>
      <c r="K21" s="27">
        <f t="shared" si="6"/>
        <v>140.79</v>
      </c>
      <c r="L21" s="27">
        <f t="shared" si="6"/>
        <v>96.110000000000014</v>
      </c>
      <c r="M21" s="27">
        <f t="shared" si="6"/>
        <v>102.97</v>
      </c>
      <c r="N21" s="27">
        <f t="shared" si="6"/>
        <v>142.35</v>
      </c>
      <c r="Q21" s="5">
        <f>SUM(Q3:Q19)</f>
        <v>1385.1076399999997</v>
      </c>
      <c r="R21" s="4"/>
      <c r="S21" s="5">
        <f>SUM(S3:S19)</f>
        <v>27737.400000000005</v>
      </c>
      <c r="T21" s="17">
        <f>Q21/S21</f>
        <v>4.9936462682154764E-2</v>
      </c>
      <c r="U21" s="5">
        <f>SUM(U3:U20)</f>
        <v>26497.630000000005</v>
      </c>
      <c r="V21" s="17">
        <f>Q21/U21</f>
        <v>5.2272887801663753E-2</v>
      </c>
      <c r="W21" s="4">
        <f>SUM(W3:W20)</f>
        <v>-1943.2299999999996</v>
      </c>
    </row>
    <row r="22" spans="1:2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R22" s="4"/>
    </row>
    <row r="23" spans="1:25" x14ac:dyDescent="0.25">
      <c r="A23" s="18">
        <v>2014</v>
      </c>
      <c r="B23" s="2">
        <f>SUM(C23:N23)</f>
        <v>897.30000000000007</v>
      </c>
      <c r="C23" s="2">
        <v>32.369999999999997</v>
      </c>
      <c r="D23" s="26">
        <v>53.34</v>
      </c>
      <c r="E23" s="26">
        <v>80.34</v>
      </c>
      <c r="F23" s="26">
        <v>47.3</v>
      </c>
      <c r="G23" s="26">
        <v>80.180000000000007</v>
      </c>
      <c r="H23" s="26">
        <v>82.8</v>
      </c>
      <c r="I23" s="26">
        <v>48.34</v>
      </c>
      <c r="J23" s="26">
        <v>82.14</v>
      </c>
      <c r="K23" s="26">
        <v>104.42</v>
      </c>
      <c r="L23" s="26">
        <v>61.33</v>
      </c>
      <c r="M23" s="26">
        <v>97.5</v>
      </c>
      <c r="N23" s="26">
        <v>127.24</v>
      </c>
      <c r="P23" s="26"/>
      <c r="Q23" s="4"/>
      <c r="T23" s="37" t="s">
        <v>84</v>
      </c>
      <c r="U23" s="2">
        <v>41.39</v>
      </c>
    </row>
    <row r="24" spans="1:25" x14ac:dyDescent="0.25">
      <c r="A24" s="18" t="s">
        <v>40</v>
      </c>
      <c r="B24" s="11">
        <f t="shared" ref="B24:N24" si="7">(B21-B23)/B23</f>
        <v>0.43664326312270124</v>
      </c>
      <c r="C24" s="11">
        <f t="shared" si="7"/>
        <v>0.80939141180105045</v>
      </c>
      <c r="D24" s="11">
        <f t="shared" si="7"/>
        <v>0.78833895763029638</v>
      </c>
      <c r="E24" s="11">
        <f t="shared" si="7"/>
        <v>0.70301219815782912</v>
      </c>
      <c r="F24" s="11">
        <f t="shared" si="7"/>
        <v>0.77589852008456672</v>
      </c>
      <c r="G24" s="11">
        <f t="shared" si="7"/>
        <v>0.22249937640309306</v>
      </c>
      <c r="H24" s="11">
        <f t="shared" si="7"/>
        <v>0.67173913043478284</v>
      </c>
      <c r="I24" s="11">
        <f t="shared" si="7"/>
        <v>0.95635084815887461</v>
      </c>
      <c r="J24" s="11">
        <f t="shared" si="7"/>
        <v>0.23070367664962263</v>
      </c>
      <c r="K24" s="11">
        <f t="shared" si="7"/>
        <v>0.34830492242865341</v>
      </c>
      <c r="L24" s="11">
        <f t="shared" si="7"/>
        <v>0.56709603782814311</v>
      </c>
      <c r="M24" s="11">
        <f t="shared" si="7"/>
        <v>5.610256410256409E-2</v>
      </c>
      <c r="N24" s="11">
        <f t="shared" si="7"/>
        <v>0.11875196479094624</v>
      </c>
      <c r="Q24" s="4"/>
      <c r="U24" s="4"/>
    </row>
    <row r="25" spans="1:25" x14ac:dyDescent="0.25">
      <c r="B25" s="19"/>
      <c r="P25" s="4"/>
      <c r="Q25" s="4"/>
      <c r="R25" s="4"/>
      <c r="T25" s="37" t="s">
        <v>85</v>
      </c>
      <c r="U25" s="11">
        <f>U23/U21</f>
        <v>1.5620264906710522E-3</v>
      </c>
    </row>
    <row r="26" spans="1:25" x14ac:dyDescent="0.25">
      <c r="B26" s="2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</sheetData>
  <sortState ref="A3:W9">
    <sortCondition ref="A3:A9"/>
  </sortState>
  <pageMargins left="0.7" right="0.7" top="0.75" bottom="0.75" header="0.3" footer="0.3"/>
  <pageSetup scale="57" fitToHeight="0" orientation="landscape" r:id="rId1"/>
  <ignoredErrors>
    <ignoredError sqref="B4:B19 B3" formulaRange="1"/>
    <ignoredError sqref="V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zoomScale="70" zoomScaleNormal="70" workbookViewId="0">
      <pane xSplit="1" topLeftCell="B1" activePane="topRight" state="frozen"/>
      <selection pane="topRight" activeCell="H27" sqref="H27"/>
    </sheetView>
  </sheetViews>
  <sheetFormatPr defaultRowHeight="12.75" x14ac:dyDescent="0.2"/>
  <cols>
    <col min="1" max="1" width="7.140625" style="59" customWidth="1"/>
    <col min="2" max="2" width="13.140625" style="59" bestFit="1" customWidth="1"/>
    <col min="3" max="4" width="10" style="59" bestFit="1" customWidth="1"/>
    <col min="5" max="5" width="11" style="59" bestFit="1" customWidth="1"/>
    <col min="6" max="6" width="10.140625" style="59" bestFit="1" customWidth="1"/>
    <col min="7" max="7" width="10" style="59" bestFit="1" customWidth="1"/>
    <col min="8" max="9" width="11" style="59" bestFit="1" customWidth="1"/>
    <col min="10" max="10" width="10" style="59" bestFit="1" customWidth="1"/>
    <col min="11" max="11" width="11" style="59" bestFit="1" customWidth="1"/>
    <col min="12" max="12" width="10.5703125" style="59" bestFit="1" customWidth="1"/>
    <col min="13" max="13" width="10" style="59" bestFit="1" customWidth="1"/>
    <col min="14" max="14" width="10.5703125" style="59" bestFit="1" customWidth="1"/>
    <col min="15" max="15" width="10.5703125" style="65" bestFit="1" customWidth="1"/>
    <col min="16" max="16" width="10" style="59" bestFit="1" customWidth="1"/>
    <col min="17" max="17" width="13.140625" style="59" bestFit="1" customWidth="1"/>
    <col min="18" max="18" width="10.140625" style="59" bestFit="1" customWidth="1"/>
    <col min="19" max="19" width="15" style="59" bestFit="1" customWidth="1"/>
    <col min="20" max="20" width="11.7109375" style="59" bestFit="1" customWidth="1"/>
    <col min="21" max="21" width="15" style="59" bestFit="1" customWidth="1"/>
    <col min="22" max="22" width="10" style="59" bestFit="1" customWidth="1"/>
    <col min="23" max="23" width="13.5703125" style="59" bestFit="1" customWidth="1"/>
    <col min="24" max="24" width="7.7109375" style="59" bestFit="1" customWidth="1"/>
    <col min="25" max="16384" width="9.140625" style="59"/>
  </cols>
  <sheetData>
    <row r="1" spans="1:25" x14ac:dyDescent="0.2">
      <c r="B1" s="60" t="s">
        <v>67</v>
      </c>
      <c r="C1" s="60" t="s">
        <v>28</v>
      </c>
      <c r="D1" s="60" t="s">
        <v>29</v>
      </c>
      <c r="E1" s="60" t="s">
        <v>30</v>
      </c>
      <c r="F1" s="60" t="s">
        <v>31</v>
      </c>
      <c r="G1" s="60" t="s">
        <v>5</v>
      </c>
      <c r="H1" s="60" t="s">
        <v>32</v>
      </c>
      <c r="I1" s="60" t="s">
        <v>33</v>
      </c>
      <c r="J1" s="60" t="s">
        <v>34</v>
      </c>
      <c r="K1" s="60" t="s">
        <v>35</v>
      </c>
      <c r="L1" s="60" t="s">
        <v>36</v>
      </c>
      <c r="M1" s="60" t="s">
        <v>61</v>
      </c>
      <c r="N1" s="60" t="s">
        <v>63</v>
      </c>
      <c r="O1" s="61" t="s">
        <v>93</v>
      </c>
      <c r="P1" s="62" t="s">
        <v>97</v>
      </c>
      <c r="Q1" s="63" t="s">
        <v>99</v>
      </c>
      <c r="R1" s="60" t="s">
        <v>98</v>
      </c>
      <c r="S1" s="62" t="s">
        <v>27</v>
      </c>
      <c r="T1" s="60" t="s">
        <v>64</v>
      </c>
      <c r="U1" s="60" t="s">
        <v>94</v>
      </c>
      <c r="V1" s="60" t="s">
        <v>95</v>
      </c>
      <c r="W1" s="60" t="s">
        <v>96</v>
      </c>
    </row>
    <row r="2" spans="1:25" x14ac:dyDescent="0.2">
      <c r="A2" s="64" t="s">
        <v>16</v>
      </c>
    </row>
    <row r="3" spans="1:25" x14ac:dyDescent="0.2">
      <c r="A3" s="59" t="s">
        <v>88</v>
      </c>
      <c r="B3" s="66">
        <f t="shared" ref="B3:B23" si="0">SUM(C3:N3)</f>
        <v>33.450000000000003</v>
      </c>
      <c r="C3" s="67">
        <v>0</v>
      </c>
      <c r="D3" s="67">
        <v>7.8</v>
      </c>
      <c r="E3" s="67">
        <v>0</v>
      </c>
      <c r="F3" s="67">
        <v>0</v>
      </c>
      <c r="G3" s="67">
        <v>8.5500000000000007</v>
      </c>
      <c r="H3" s="67">
        <v>0</v>
      </c>
      <c r="I3" s="67">
        <v>0</v>
      </c>
      <c r="J3" s="67">
        <v>8.5500000000000007</v>
      </c>
      <c r="K3" s="67">
        <v>0</v>
      </c>
      <c r="L3" s="67">
        <v>0</v>
      </c>
      <c r="M3" s="67">
        <v>8.5500000000000007</v>
      </c>
      <c r="N3" s="67">
        <v>0</v>
      </c>
      <c r="O3" s="65">
        <v>15</v>
      </c>
      <c r="P3" s="70">
        <v>2.2799999999999998</v>
      </c>
      <c r="Q3" s="71">
        <f t="shared" ref="Q3:Q23" si="1">O3*P3</f>
        <v>34.199999999999996</v>
      </c>
      <c r="R3" s="72">
        <f t="shared" ref="R3:R12" si="2">S3/O3</f>
        <v>103.35</v>
      </c>
      <c r="S3" s="70">
        <v>1550.25</v>
      </c>
      <c r="T3" s="73">
        <f t="shared" ref="T3:T23" si="3">P3/R3</f>
        <v>2.2060957910014514E-2</v>
      </c>
      <c r="U3" s="70">
        <v>1737.3</v>
      </c>
      <c r="V3" s="73">
        <f t="shared" ref="V3:V23" si="4">Q3/U3</f>
        <v>1.9685719219478499E-2</v>
      </c>
      <c r="W3" s="72">
        <f t="shared" ref="W3:W23" si="5">U3-S3</f>
        <v>187.04999999999995</v>
      </c>
      <c r="X3" s="74"/>
    </row>
    <row r="4" spans="1:25" x14ac:dyDescent="0.2">
      <c r="A4" s="59" t="s">
        <v>24</v>
      </c>
      <c r="B4" s="66">
        <f t="shared" si="0"/>
        <v>199.60000000000002</v>
      </c>
      <c r="C4" s="67">
        <v>20.350000000000001</v>
      </c>
      <c r="D4" s="67">
        <v>20.72</v>
      </c>
      <c r="E4" s="67">
        <v>21.07</v>
      </c>
      <c r="F4" s="67">
        <v>17.5</v>
      </c>
      <c r="G4" s="67">
        <v>14.44</v>
      </c>
      <c r="H4" s="67">
        <v>14.61</v>
      </c>
      <c r="I4" s="67">
        <v>14.78</v>
      </c>
      <c r="J4" s="67">
        <v>14.93</v>
      </c>
      <c r="K4" s="67">
        <v>15.08</v>
      </c>
      <c r="L4" s="67">
        <v>15.23</v>
      </c>
      <c r="M4" s="67">
        <v>15.37</v>
      </c>
      <c r="N4" s="67">
        <v>15.52</v>
      </c>
      <c r="O4" s="65">
        <v>71.293999999999997</v>
      </c>
      <c r="P4" s="71">
        <v>2.64</v>
      </c>
      <c r="Q4" s="71">
        <f t="shared" si="1"/>
        <v>188.21616</v>
      </c>
      <c r="R4" s="72">
        <f t="shared" si="2"/>
        <v>31.349342160630631</v>
      </c>
      <c r="S4" s="72">
        <v>2235.02</v>
      </c>
      <c r="T4" s="73">
        <f t="shared" si="3"/>
        <v>8.4212293402296176E-2</v>
      </c>
      <c r="U4" s="70">
        <v>1546.37</v>
      </c>
      <c r="V4" s="73">
        <f t="shared" si="4"/>
        <v>0.12171482892192685</v>
      </c>
      <c r="W4" s="72">
        <f t="shared" si="5"/>
        <v>-688.65000000000009</v>
      </c>
      <c r="X4" s="74"/>
    </row>
    <row r="5" spans="1:25" x14ac:dyDescent="0.2">
      <c r="A5" s="59" t="s">
        <v>92</v>
      </c>
      <c r="B5" s="66">
        <f t="shared" si="0"/>
        <v>32.700000000000003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16.350000000000001</v>
      </c>
      <c r="L5" s="67">
        <v>0</v>
      </c>
      <c r="M5" s="67">
        <v>0</v>
      </c>
      <c r="N5" s="67">
        <v>16.350000000000001</v>
      </c>
      <c r="O5" s="65">
        <v>15</v>
      </c>
      <c r="P5" s="71">
        <f>1.09*4</f>
        <v>4.3600000000000003</v>
      </c>
      <c r="Q5" s="71">
        <f t="shared" ref="Q5" si="6">O5*P5</f>
        <v>65.400000000000006</v>
      </c>
      <c r="R5" s="72">
        <f t="shared" si="2"/>
        <v>128.02333333333334</v>
      </c>
      <c r="S5" s="72">
        <v>1920.35</v>
      </c>
      <c r="T5" s="73">
        <f t="shared" si="3"/>
        <v>3.4056291821803315E-2</v>
      </c>
      <c r="U5" s="70">
        <v>2335.1999999999998</v>
      </c>
      <c r="V5" s="73">
        <f t="shared" si="4"/>
        <v>2.8006166495375132E-2</v>
      </c>
      <c r="W5" s="72">
        <f t="shared" ref="W5" si="7">U5-S5</f>
        <v>414.84999999999991</v>
      </c>
      <c r="X5" s="74"/>
    </row>
    <row r="6" spans="1:25" x14ac:dyDescent="0.2">
      <c r="A6" s="59" t="s">
        <v>83</v>
      </c>
      <c r="B6" s="66">
        <f t="shared" si="0"/>
        <v>43.57</v>
      </c>
      <c r="C6" s="67">
        <v>9.9600000000000009</v>
      </c>
      <c r="D6" s="67">
        <v>0</v>
      </c>
      <c r="E6" s="67">
        <v>0</v>
      </c>
      <c r="F6" s="67">
        <v>11.4</v>
      </c>
      <c r="G6" s="67">
        <v>0</v>
      </c>
      <c r="H6" s="67">
        <v>0</v>
      </c>
      <c r="I6" s="67">
        <v>11.15</v>
      </c>
      <c r="J6" s="67">
        <v>0</v>
      </c>
      <c r="K6" s="67">
        <v>0</v>
      </c>
      <c r="L6" s="67">
        <v>11.06</v>
      </c>
      <c r="M6" s="67">
        <v>0</v>
      </c>
      <c r="N6" s="67">
        <v>0</v>
      </c>
      <c r="O6" s="65">
        <v>20</v>
      </c>
      <c r="P6" s="71">
        <v>2.16</v>
      </c>
      <c r="Q6" s="71">
        <v>42.4</v>
      </c>
      <c r="R6" s="72">
        <f t="shared" si="2"/>
        <v>51.681500000000007</v>
      </c>
      <c r="S6" s="72">
        <v>1033.6300000000001</v>
      </c>
      <c r="T6" s="73">
        <f t="shared" si="3"/>
        <v>4.1794452560393949E-2</v>
      </c>
      <c r="U6" s="70">
        <v>1113.5999999999999</v>
      </c>
      <c r="V6" s="73">
        <f t="shared" si="4"/>
        <v>3.8074712643678163E-2</v>
      </c>
      <c r="W6" s="72">
        <f t="shared" si="5"/>
        <v>79.9699999999998</v>
      </c>
      <c r="X6" s="74"/>
    </row>
    <row r="7" spans="1:25" x14ac:dyDescent="0.2">
      <c r="A7" s="59" t="s">
        <v>41</v>
      </c>
      <c r="B7" s="66">
        <f t="shared" si="0"/>
        <v>130.88</v>
      </c>
      <c r="C7" s="67">
        <v>0</v>
      </c>
      <c r="D7" s="67">
        <v>0</v>
      </c>
      <c r="E7" s="67">
        <v>32.72</v>
      </c>
      <c r="F7" s="67">
        <v>0</v>
      </c>
      <c r="G7" s="67">
        <v>0</v>
      </c>
      <c r="H7" s="67">
        <v>32.72</v>
      </c>
      <c r="I7" s="67">
        <v>0</v>
      </c>
      <c r="J7" s="67">
        <v>0</v>
      </c>
      <c r="K7" s="67">
        <f>H7</f>
        <v>32.72</v>
      </c>
      <c r="L7" s="67">
        <v>0</v>
      </c>
      <c r="M7" s="67">
        <v>0</v>
      </c>
      <c r="N7" s="67">
        <v>32.72</v>
      </c>
      <c r="O7" s="65">
        <v>55</v>
      </c>
      <c r="P7" s="70">
        <v>2.4</v>
      </c>
      <c r="Q7" s="70">
        <f t="shared" si="1"/>
        <v>132</v>
      </c>
      <c r="R7" s="72">
        <f t="shared" si="2"/>
        <v>43.217272727272722</v>
      </c>
      <c r="S7" s="70">
        <v>2376.9499999999998</v>
      </c>
      <c r="T7" s="73">
        <f t="shared" si="3"/>
        <v>5.5533351563979053E-2</v>
      </c>
      <c r="U7" s="70">
        <v>2055.9</v>
      </c>
      <c r="V7" s="73">
        <f t="shared" si="4"/>
        <v>6.4205457463884424E-2</v>
      </c>
      <c r="W7" s="72">
        <f t="shared" si="5"/>
        <v>-321.04999999999973</v>
      </c>
      <c r="X7" s="74"/>
    </row>
    <row r="8" spans="1:25" x14ac:dyDescent="0.2">
      <c r="A8" s="59" t="s">
        <v>80</v>
      </c>
      <c r="B8" s="66">
        <f t="shared" si="0"/>
        <v>46.2</v>
      </c>
      <c r="C8" s="67">
        <v>0</v>
      </c>
      <c r="D8" s="67">
        <v>11.55</v>
      </c>
      <c r="E8" s="67">
        <v>0</v>
      </c>
      <c r="F8" s="67">
        <v>0</v>
      </c>
      <c r="G8" s="67">
        <v>11.55</v>
      </c>
      <c r="H8" s="67">
        <v>0</v>
      </c>
      <c r="I8" s="67">
        <v>0</v>
      </c>
      <c r="J8" s="67">
        <v>11.55</v>
      </c>
      <c r="K8" s="67">
        <v>0</v>
      </c>
      <c r="L8" s="67">
        <v>0</v>
      </c>
      <c r="M8" s="67">
        <v>11.55</v>
      </c>
      <c r="N8" s="67">
        <v>0</v>
      </c>
      <c r="O8" s="65">
        <v>0</v>
      </c>
      <c r="P8" s="70">
        <v>3.08</v>
      </c>
      <c r="Q8" s="70">
        <f t="shared" si="1"/>
        <v>0</v>
      </c>
      <c r="R8" s="72" t="e">
        <f t="shared" si="2"/>
        <v>#DIV/0!</v>
      </c>
      <c r="S8" s="70">
        <v>0</v>
      </c>
      <c r="T8" s="73" t="e">
        <f t="shared" si="3"/>
        <v>#DIV/0!</v>
      </c>
      <c r="U8" s="70">
        <v>0</v>
      </c>
      <c r="V8" s="73" t="e">
        <f t="shared" si="4"/>
        <v>#DIV/0!</v>
      </c>
      <c r="W8" s="72">
        <f t="shared" si="5"/>
        <v>0</v>
      </c>
      <c r="X8" s="74"/>
    </row>
    <row r="9" spans="1:25" x14ac:dyDescent="0.2">
      <c r="A9" s="59" t="s">
        <v>90</v>
      </c>
      <c r="B9" s="66">
        <f t="shared" si="0"/>
        <v>42.900000000000006</v>
      </c>
      <c r="C9" s="67">
        <v>0</v>
      </c>
      <c r="D9" s="67">
        <v>0</v>
      </c>
      <c r="E9" s="67">
        <v>0</v>
      </c>
      <c r="F9" s="67">
        <v>14.3</v>
      </c>
      <c r="G9" s="67">
        <v>0</v>
      </c>
      <c r="H9" s="67">
        <v>0</v>
      </c>
      <c r="I9" s="67">
        <v>14.3</v>
      </c>
      <c r="J9" s="67">
        <v>0</v>
      </c>
      <c r="K9" s="67">
        <v>0</v>
      </c>
      <c r="L9" s="67">
        <v>14.3</v>
      </c>
      <c r="M9" s="67">
        <v>0</v>
      </c>
      <c r="N9" s="67">
        <v>0</v>
      </c>
      <c r="O9" s="65">
        <v>55</v>
      </c>
      <c r="P9" s="71">
        <v>1.04</v>
      </c>
      <c r="Q9" s="70">
        <f t="shared" si="1"/>
        <v>57.2</v>
      </c>
      <c r="R9" s="72">
        <f t="shared" si="2"/>
        <v>23.256363636363634</v>
      </c>
      <c r="S9" s="72">
        <v>1279.0999999999999</v>
      </c>
      <c r="T9" s="73">
        <f t="shared" si="3"/>
        <v>4.4718943006801661E-2</v>
      </c>
      <c r="U9" s="70">
        <v>1662.1</v>
      </c>
      <c r="V9" s="73">
        <f t="shared" si="4"/>
        <v>3.4414295168762411E-2</v>
      </c>
      <c r="W9" s="72">
        <f t="shared" si="5"/>
        <v>383</v>
      </c>
      <c r="X9" s="74"/>
    </row>
    <row r="10" spans="1:25" x14ac:dyDescent="0.2">
      <c r="A10" s="59" t="s">
        <v>18</v>
      </c>
      <c r="B10" s="66">
        <f t="shared" si="0"/>
        <v>134.07999999999998</v>
      </c>
      <c r="C10" s="67">
        <v>0</v>
      </c>
      <c r="D10" s="67">
        <v>0</v>
      </c>
      <c r="E10" s="67">
        <f>15.72+26.2</f>
        <v>41.92</v>
      </c>
      <c r="F10" s="67">
        <v>0</v>
      </c>
      <c r="G10" s="67">
        <v>0</v>
      </c>
      <c r="H10" s="67">
        <v>30.72</v>
      </c>
      <c r="I10" s="67">
        <v>0</v>
      </c>
      <c r="J10" s="67">
        <v>0</v>
      </c>
      <c r="K10" s="67">
        <v>30.72</v>
      </c>
      <c r="L10" s="67">
        <v>0</v>
      </c>
      <c r="M10" s="67">
        <v>0</v>
      </c>
      <c r="N10" s="67">
        <v>30.72</v>
      </c>
      <c r="O10" s="65">
        <v>204.798</v>
      </c>
      <c r="P10" s="71">
        <v>0.6</v>
      </c>
      <c r="Q10" s="71">
        <f t="shared" si="1"/>
        <v>122.8788</v>
      </c>
      <c r="R10" s="72">
        <f t="shared" si="2"/>
        <v>12.055439994531195</v>
      </c>
      <c r="S10" s="72">
        <v>2468.9299999999998</v>
      </c>
      <c r="T10" s="73">
        <f t="shared" si="3"/>
        <v>4.9770062334695601E-2</v>
      </c>
      <c r="U10" s="70">
        <v>2484.1999999999998</v>
      </c>
      <c r="V10" s="73">
        <f t="shared" si="4"/>
        <v>4.946413332259883E-2</v>
      </c>
      <c r="W10" s="72">
        <f t="shared" si="5"/>
        <v>15.269999999999982</v>
      </c>
      <c r="X10" s="74"/>
    </row>
    <row r="11" spans="1:25" x14ac:dyDescent="0.2">
      <c r="A11" s="59" t="s">
        <v>72</v>
      </c>
      <c r="B11" s="66">
        <f t="shared" si="0"/>
        <v>92</v>
      </c>
      <c r="C11" s="67">
        <v>23</v>
      </c>
      <c r="D11" s="67">
        <v>0</v>
      </c>
      <c r="E11" s="67">
        <v>0</v>
      </c>
      <c r="F11" s="67">
        <v>23</v>
      </c>
      <c r="G11" s="67">
        <v>0</v>
      </c>
      <c r="H11" s="67">
        <v>0</v>
      </c>
      <c r="I11" s="67">
        <v>23</v>
      </c>
      <c r="J11" s="67">
        <v>0</v>
      </c>
      <c r="K11" s="67">
        <v>0</v>
      </c>
      <c r="L11" s="67">
        <v>23</v>
      </c>
      <c r="M11" s="67">
        <v>0</v>
      </c>
      <c r="N11" s="67">
        <v>0</v>
      </c>
      <c r="O11" s="65">
        <v>100</v>
      </c>
      <c r="P11" s="71">
        <v>0.92</v>
      </c>
      <c r="Q11" s="71">
        <f t="shared" si="1"/>
        <v>92</v>
      </c>
      <c r="R11" s="72">
        <f t="shared" si="2"/>
        <v>25.006500000000003</v>
      </c>
      <c r="S11" s="72">
        <v>2500.65</v>
      </c>
      <c r="T11" s="73">
        <f t="shared" si="3"/>
        <v>3.6790434487033369E-2</v>
      </c>
      <c r="U11" s="70">
        <v>3160</v>
      </c>
      <c r="V11" s="73">
        <f t="shared" si="4"/>
        <v>2.911392405063291E-2</v>
      </c>
      <c r="W11" s="72">
        <f t="shared" si="5"/>
        <v>659.34999999999991</v>
      </c>
      <c r="X11" s="74"/>
    </row>
    <row r="12" spans="1:25" x14ac:dyDescent="0.2">
      <c r="A12" s="59" t="s">
        <v>74</v>
      </c>
      <c r="B12" s="66">
        <f t="shared" si="0"/>
        <v>52.385000000000005</v>
      </c>
      <c r="C12" s="67">
        <v>0</v>
      </c>
      <c r="D12" s="67">
        <v>14.375</v>
      </c>
      <c r="E12" s="67">
        <v>0</v>
      </c>
      <c r="F12" s="67">
        <v>0</v>
      </c>
      <c r="G12" s="67">
        <v>14.38</v>
      </c>
      <c r="H12" s="67">
        <v>0</v>
      </c>
      <c r="I12" s="67">
        <v>0</v>
      </c>
      <c r="J12" s="67">
        <v>14.38</v>
      </c>
      <c r="K12" s="67">
        <v>0</v>
      </c>
      <c r="L12" s="67">
        <v>0</v>
      </c>
      <c r="M12" s="67">
        <v>9.25</v>
      </c>
      <c r="N12" s="67">
        <v>0</v>
      </c>
      <c r="O12" s="65">
        <v>25</v>
      </c>
      <c r="P12" s="71">
        <v>1.48</v>
      </c>
      <c r="Q12" s="71">
        <f t="shared" si="1"/>
        <v>37</v>
      </c>
      <c r="R12" s="72">
        <f t="shared" si="2"/>
        <v>44.078000000000003</v>
      </c>
      <c r="S12" s="72">
        <v>1101.95</v>
      </c>
      <c r="T12" s="73">
        <f t="shared" si="3"/>
        <v>3.3576841054494301E-2</v>
      </c>
      <c r="U12" s="70">
        <v>743</v>
      </c>
      <c r="V12" s="73">
        <f t="shared" si="4"/>
        <v>4.9798115746971738E-2</v>
      </c>
      <c r="W12" s="72">
        <f t="shared" si="5"/>
        <v>-358.95000000000005</v>
      </c>
      <c r="X12" s="74"/>
    </row>
    <row r="13" spans="1:25" x14ac:dyDescent="0.2">
      <c r="A13" s="59" t="s">
        <v>81</v>
      </c>
      <c r="B13" s="66">
        <f t="shared" si="0"/>
        <v>47.25</v>
      </c>
      <c r="C13" s="67">
        <v>0</v>
      </c>
      <c r="D13" s="67">
        <v>0</v>
      </c>
      <c r="E13" s="67">
        <v>11.25</v>
      </c>
      <c r="F13" s="67">
        <v>0</v>
      </c>
      <c r="G13" s="67">
        <v>0</v>
      </c>
      <c r="H13" s="67">
        <v>12</v>
      </c>
      <c r="I13" s="67">
        <v>0</v>
      </c>
      <c r="J13" s="67">
        <v>0</v>
      </c>
      <c r="K13" s="67">
        <v>12</v>
      </c>
      <c r="L13" s="67">
        <v>0</v>
      </c>
      <c r="M13" s="67">
        <v>0</v>
      </c>
      <c r="N13" s="67">
        <v>12</v>
      </c>
      <c r="O13" s="65">
        <v>15</v>
      </c>
      <c r="P13" s="71">
        <v>3.2</v>
      </c>
      <c r="Q13" s="71">
        <f t="shared" si="1"/>
        <v>48</v>
      </c>
      <c r="R13" s="72">
        <v>101.07</v>
      </c>
      <c r="S13" s="72">
        <v>1516.02</v>
      </c>
      <c r="T13" s="73">
        <f t="shared" si="3"/>
        <v>3.1661224893638075E-2</v>
      </c>
      <c r="U13" s="70">
        <v>1728.15</v>
      </c>
      <c r="V13" s="73">
        <f t="shared" si="4"/>
        <v>2.7775366721638745E-2</v>
      </c>
      <c r="W13" s="72">
        <f t="shared" si="5"/>
        <v>212.13000000000011</v>
      </c>
      <c r="X13" s="74"/>
    </row>
    <row r="14" spans="1:25" x14ac:dyDescent="0.2">
      <c r="A14" s="59" t="s">
        <v>75</v>
      </c>
      <c r="B14" s="66">
        <f t="shared" si="0"/>
        <v>29.36</v>
      </c>
      <c r="C14" s="67">
        <v>0</v>
      </c>
      <c r="D14" s="67">
        <v>7.34</v>
      </c>
      <c r="E14" s="67">
        <v>0</v>
      </c>
      <c r="F14" s="67">
        <v>0</v>
      </c>
      <c r="G14" s="67">
        <v>7.34</v>
      </c>
      <c r="H14" s="67">
        <v>0</v>
      </c>
      <c r="I14" s="67">
        <v>0</v>
      </c>
      <c r="J14" s="67">
        <v>7.34</v>
      </c>
      <c r="K14" s="67">
        <v>0</v>
      </c>
      <c r="L14" s="67">
        <v>0</v>
      </c>
      <c r="M14" s="67">
        <v>7.34</v>
      </c>
      <c r="N14" s="67">
        <v>0</v>
      </c>
      <c r="O14" s="65">
        <v>58.683</v>
      </c>
      <c r="P14" s="71">
        <v>0.5</v>
      </c>
      <c r="Q14" s="71">
        <f t="shared" si="1"/>
        <v>29.3415</v>
      </c>
      <c r="R14" s="72">
        <f>S14/O14</f>
        <v>41.349965066543973</v>
      </c>
      <c r="S14" s="76">
        <v>2426.54</v>
      </c>
      <c r="T14" s="73">
        <f t="shared" si="3"/>
        <v>1.2091908643583045E-2</v>
      </c>
      <c r="U14" s="70">
        <v>1215.32</v>
      </c>
      <c r="V14" s="73">
        <f t="shared" si="4"/>
        <v>2.4143024059506961E-2</v>
      </c>
      <c r="W14" s="72">
        <f t="shared" si="5"/>
        <v>-1211.22</v>
      </c>
      <c r="X14" s="74"/>
    </row>
    <row r="15" spans="1:25" x14ac:dyDescent="0.2">
      <c r="A15" s="59" t="s">
        <v>22</v>
      </c>
      <c r="B15" s="66">
        <f t="shared" si="0"/>
        <v>197.40000000000003</v>
      </c>
      <c r="C15" s="67">
        <v>15.77</v>
      </c>
      <c r="D15" s="67">
        <v>16.38</v>
      </c>
      <c r="E15" s="67">
        <v>16.38</v>
      </c>
      <c r="F15" s="67">
        <v>16.43</v>
      </c>
      <c r="G15" s="67">
        <v>16.43</v>
      </c>
      <c r="H15" s="67">
        <v>16.43</v>
      </c>
      <c r="I15" s="67">
        <v>16.47</v>
      </c>
      <c r="J15" s="67">
        <v>16.47</v>
      </c>
      <c r="K15" s="67">
        <v>16.63</v>
      </c>
      <c r="L15" s="67">
        <v>16.670000000000002</v>
      </c>
      <c r="M15" s="67">
        <v>16.670000000000002</v>
      </c>
      <c r="N15" s="67">
        <v>16.670000000000002</v>
      </c>
      <c r="O15" s="65">
        <v>82.540999999999997</v>
      </c>
      <c r="P15" s="71">
        <f>0.202*12</f>
        <v>2.4240000000000004</v>
      </c>
      <c r="Q15" s="71">
        <f t="shared" si="1"/>
        <v>200.07938400000003</v>
      </c>
      <c r="R15" s="72">
        <f>S15/O15</f>
        <v>39.442701203038489</v>
      </c>
      <c r="S15" s="72">
        <v>3255.64</v>
      </c>
      <c r="T15" s="73">
        <f t="shared" si="3"/>
        <v>6.1456237176100562E-2</v>
      </c>
      <c r="U15" s="70">
        <v>4744.46</v>
      </c>
      <c r="V15" s="73">
        <f t="shared" si="4"/>
        <v>4.2171160469263107E-2</v>
      </c>
      <c r="W15" s="72">
        <f t="shared" si="5"/>
        <v>1488.8200000000002</v>
      </c>
      <c r="X15" s="74"/>
      <c r="Y15" s="74"/>
    </row>
    <row r="16" spans="1:25" x14ac:dyDescent="0.2">
      <c r="A16" s="59" t="s">
        <v>71</v>
      </c>
      <c r="B16" s="66">
        <f t="shared" si="0"/>
        <v>48</v>
      </c>
      <c r="C16" s="67">
        <v>0</v>
      </c>
      <c r="D16" s="67">
        <v>0</v>
      </c>
      <c r="E16" s="75">
        <v>12</v>
      </c>
      <c r="F16" s="67">
        <v>0</v>
      </c>
      <c r="G16" s="67">
        <v>0</v>
      </c>
      <c r="H16" s="67">
        <v>12</v>
      </c>
      <c r="I16" s="67">
        <v>0</v>
      </c>
      <c r="J16" s="67">
        <v>0</v>
      </c>
      <c r="K16" s="67">
        <v>12</v>
      </c>
      <c r="L16" s="67">
        <v>0</v>
      </c>
      <c r="M16" s="67">
        <v>0</v>
      </c>
      <c r="N16" s="67">
        <v>12</v>
      </c>
      <c r="O16" s="77">
        <v>40</v>
      </c>
      <c r="P16" s="71">
        <v>1.2</v>
      </c>
      <c r="Q16" s="71">
        <f t="shared" si="1"/>
        <v>48</v>
      </c>
      <c r="R16" s="72">
        <v>30.91</v>
      </c>
      <c r="S16" s="72">
        <v>1236.3499999999999</v>
      </c>
      <c r="T16" s="73">
        <f t="shared" si="3"/>
        <v>3.8822387576835975E-2</v>
      </c>
      <c r="U16" s="70">
        <v>1299.2</v>
      </c>
      <c r="V16" s="73">
        <f t="shared" si="4"/>
        <v>3.694581280788177E-2</v>
      </c>
      <c r="W16" s="72">
        <f t="shared" si="5"/>
        <v>62.850000000000136</v>
      </c>
      <c r="X16" s="74"/>
    </row>
    <row r="17" spans="1:24" x14ac:dyDescent="0.2">
      <c r="A17" s="59" t="s">
        <v>69</v>
      </c>
      <c r="B17" s="66">
        <f t="shared" si="0"/>
        <v>62.870000000000005</v>
      </c>
      <c r="C17" s="67">
        <v>15.64</v>
      </c>
      <c r="D17" s="70">
        <v>0</v>
      </c>
      <c r="E17" s="70">
        <v>0</v>
      </c>
      <c r="F17" s="67">
        <v>15.64</v>
      </c>
      <c r="G17" s="70">
        <v>0</v>
      </c>
      <c r="H17" s="70">
        <v>0</v>
      </c>
      <c r="I17" s="67">
        <v>15.64</v>
      </c>
      <c r="J17" s="70">
        <v>0</v>
      </c>
      <c r="K17" s="70">
        <v>0</v>
      </c>
      <c r="L17" s="67">
        <v>15.95</v>
      </c>
      <c r="M17" s="70">
        <v>0</v>
      </c>
      <c r="N17" s="70">
        <v>0</v>
      </c>
      <c r="O17" s="65">
        <v>15.333</v>
      </c>
      <c r="P17" s="70">
        <v>4.16</v>
      </c>
      <c r="Q17" s="70">
        <f t="shared" si="1"/>
        <v>63.78528</v>
      </c>
      <c r="R17" s="72">
        <v>82.93</v>
      </c>
      <c r="S17" s="70">
        <v>1243.95</v>
      </c>
      <c r="T17" s="73">
        <f t="shared" si="3"/>
        <v>5.0162787893404073E-2</v>
      </c>
      <c r="U17" s="70">
        <v>1402.82</v>
      </c>
      <c r="V17" s="73">
        <f t="shared" si="4"/>
        <v>4.5469326071769726E-2</v>
      </c>
      <c r="W17" s="72">
        <f t="shared" si="5"/>
        <v>158.86999999999989</v>
      </c>
      <c r="X17" s="74"/>
    </row>
    <row r="18" spans="1:24" x14ac:dyDescent="0.2">
      <c r="A18" s="59" t="s">
        <v>17</v>
      </c>
      <c r="B18" s="66">
        <f t="shared" si="0"/>
        <v>48.64</v>
      </c>
      <c r="C18" s="70">
        <v>0</v>
      </c>
      <c r="D18" s="67">
        <v>12.16</v>
      </c>
      <c r="E18" s="70">
        <v>0</v>
      </c>
      <c r="F18" s="67">
        <v>0</v>
      </c>
      <c r="G18" s="67">
        <v>12.16</v>
      </c>
      <c r="H18" s="67">
        <v>0</v>
      </c>
      <c r="I18" s="67">
        <v>0</v>
      </c>
      <c r="J18" s="67">
        <v>12.16</v>
      </c>
      <c r="K18" s="67">
        <v>0</v>
      </c>
      <c r="L18" s="67">
        <v>0</v>
      </c>
      <c r="M18" s="67">
        <v>12.16</v>
      </c>
      <c r="N18" s="67">
        <v>0</v>
      </c>
      <c r="O18" s="65">
        <v>25.329000000000001</v>
      </c>
      <c r="P18" s="70">
        <v>1.92</v>
      </c>
      <c r="Q18" s="70">
        <f t="shared" si="1"/>
        <v>48.631680000000003</v>
      </c>
      <c r="R18" s="72">
        <v>32.39</v>
      </c>
      <c r="S18" s="70">
        <v>809.7</v>
      </c>
      <c r="T18" s="73">
        <f t="shared" si="3"/>
        <v>5.9277554800864461E-2</v>
      </c>
      <c r="U18" s="70">
        <v>1077.24</v>
      </c>
      <c r="V18" s="73">
        <f t="shared" si="4"/>
        <v>4.5144703130221682E-2</v>
      </c>
      <c r="W18" s="72">
        <f t="shared" si="5"/>
        <v>267.53999999999996</v>
      </c>
      <c r="X18" s="74"/>
    </row>
    <row r="19" spans="1:24" x14ac:dyDescent="0.2">
      <c r="A19" s="59" t="s">
        <v>82</v>
      </c>
      <c r="B19" s="66">
        <f t="shared" si="0"/>
        <v>48.94</v>
      </c>
      <c r="C19" s="67">
        <v>10.85</v>
      </c>
      <c r="D19" s="67">
        <v>0</v>
      </c>
      <c r="E19" s="70">
        <v>0</v>
      </c>
      <c r="F19" s="67">
        <v>13.16</v>
      </c>
      <c r="G19" s="67">
        <v>0</v>
      </c>
      <c r="H19" s="67">
        <v>0</v>
      </c>
      <c r="I19" s="67">
        <v>12.63</v>
      </c>
      <c r="J19" s="67">
        <v>0</v>
      </c>
      <c r="K19" s="67">
        <v>0</v>
      </c>
      <c r="L19" s="67">
        <v>12.3</v>
      </c>
      <c r="M19" s="67">
        <v>0</v>
      </c>
      <c r="N19" s="67">
        <v>0</v>
      </c>
      <c r="O19" s="65">
        <v>30</v>
      </c>
      <c r="P19" s="70">
        <v>1.64</v>
      </c>
      <c r="Q19" s="70">
        <f t="shared" si="1"/>
        <v>49.199999999999996</v>
      </c>
      <c r="R19" s="72">
        <v>42.25</v>
      </c>
      <c r="S19" s="70">
        <v>1267.49</v>
      </c>
      <c r="T19" s="73">
        <f t="shared" si="3"/>
        <v>3.8816568047337276E-2</v>
      </c>
      <c r="U19" s="70">
        <v>1480.2</v>
      </c>
      <c r="V19" s="73">
        <f t="shared" si="4"/>
        <v>3.3238751520064849E-2</v>
      </c>
      <c r="W19" s="72">
        <f t="shared" si="5"/>
        <v>212.71000000000004</v>
      </c>
      <c r="X19" s="74"/>
    </row>
    <row r="20" spans="1:24" x14ac:dyDescent="0.2">
      <c r="A20" s="59" t="s">
        <v>70</v>
      </c>
      <c r="B20" s="66">
        <f t="shared" si="0"/>
        <v>11.2</v>
      </c>
      <c r="C20" s="70">
        <v>0</v>
      </c>
      <c r="D20" s="70">
        <v>0</v>
      </c>
      <c r="E20" s="67">
        <v>11.2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75">
        <v>0</v>
      </c>
      <c r="N20" s="67">
        <v>0</v>
      </c>
      <c r="O20" s="65">
        <v>0</v>
      </c>
      <c r="P20" s="70">
        <v>2.2400000000000002</v>
      </c>
      <c r="Q20" s="70">
        <f t="shared" si="1"/>
        <v>0</v>
      </c>
      <c r="R20" s="72" t="e">
        <f>S20/O20</f>
        <v>#DIV/0!</v>
      </c>
      <c r="S20" s="70">
        <v>0</v>
      </c>
      <c r="T20" s="73" t="e">
        <f t="shared" si="3"/>
        <v>#DIV/0!</v>
      </c>
      <c r="U20" s="70">
        <v>0</v>
      </c>
      <c r="V20" s="73" t="e">
        <f t="shared" si="4"/>
        <v>#DIV/0!</v>
      </c>
      <c r="W20" s="72">
        <f t="shared" si="5"/>
        <v>0</v>
      </c>
      <c r="X20" s="74"/>
    </row>
    <row r="21" spans="1:24" x14ac:dyDescent="0.2">
      <c r="A21" s="59" t="s">
        <v>68</v>
      </c>
      <c r="B21" s="66">
        <f t="shared" si="0"/>
        <v>55.269999999999996</v>
      </c>
      <c r="C21" s="70">
        <v>0</v>
      </c>
      <c r="D21" s="70">
        <v>0</v>
      </c>
      <c r="E21" s="67">
        <v>12.98</v>
      </c>
      <c r="F21" s="70">
        <v>0</v>
      </c>
      <c r="G21" s="70">
        <v>0</v>
      </c>
      <c r="H21" s="67">
        <v>14.39</v>
      </c>
      <c r="I21" s="70">
        <v>0</v>
      </c>
      <c r="J21" s="70">
        <v>0</v>
      </c>
      <c r="K21" s="67">
        <v>13.92</v>
      </c>
      <c r="L21" s="70">
        <v>0</v>
      </c>
      <c r="M21" s="70">
        <v>0</v>
      </c>
      <c r="N21" s="67">
        <v>13.98</v>
      </c>
      <c r="O21" s="65">
        <v>100</v>
      </c>
      <c r="P21" s="70">
        <v>1.4</v>
      </c>
      <c r="Q21" s="70">
        <f t="shared" si="1"/>
        <v>140</v>
      </c>
      <c r="R21" s="72">
        <v>39.590000000000003</v>
      </c>
      <c r="S21" s="70">
        <v>3962.41</v>
      </c>
      <c r="T21" s="73">
        <f t="shared" si="3"/>
        <v>3.5362465269007319E-2</v>
      </c>
      <c r="U21" s="70">
        <v>4070</v>
      </c>
      <c r="V21" s="73">
        <f t="shared" si="4"/>
        <v>3.4398034398034398E-2</v>
      </c>
      <c r="W21" s="72">
        <f t="shared" si="5"/>
        <v>107.59000000000015</v>
      </c>
      <c r="X21" s="74"/>
    </row>
    <row r="22" spans="1:24" x14ac:dyDescent="0.2">
      <c r="A22" s="59" t="s">
        <v>91</v>
      </c>
      <c r="B22" s="66">
        <f t="shared" si="0"/>
        <v>45.599999999999994</v>
      </c>
      <c r="C22" s="70">
        <v>0</v>
      </c>
      <c r="D22" s="70">
        <v>0</v>
      </c>
      <c r="E22" s="67">
        <v>0</v>
      </c>
      <c r="F22" s="70">
        <v>0</v>
      </c>
      <c r="G22" s="70">
        <v>0</v>
      </c>
      <c r="H22" s="67">
        <v>15.2</v>
      </c>
      <c r="I22" s="70">
        <v>0</v>
      </c>
      <c r="J22" s="70">
        <v>0</v>
      </c>
      <c r="K22" s="67">
        <v>15.2</v>
      </c>
      <c r="L22" s="70">
        <v>0</v>
      </c>
      <c r="M22" s="70">
        <v>0</v>
      </c>
      <c r="N22" s="67">
        <f>K22</f>
        <v>15.2</v>
      </c>
      <c r="O22" s="65">
        <v>40</v>
      </c>
      <c r="P22" s="70">
        <v>1.52</v>
      </c>
      <c r="Q22" s="70">
        <f t="shared" si="1"/>
        <v>60.8</v>
      </c>
      <c r="R22" s="72">
        <v>39.590000000000003</v>
      </c>
      <c r="S22" s="70">
        <v>1925.55</v>
      </c>
      <c r="T22" s="73">
        <f t="shared" si="3"/>
        <v>3.8393533720636523E-2</v>
      </c>
      <c r="U22" s="70">
        <v>2204.4</v>
      </c>
      <c r="V22" s="73">
        <f t="shared" si="4"/>
        <v>2.7581201233895843E-2</v>
      </c>
      <c r="W22" s="72">
        <f t="shared" si="5"/>
        <v>278.85000000000014</v>
      </c>
      <c r="X22" s="74"/>
    </row>
    <row r="23" spans="1:24" x14ac:dyDescent="0.2">
      <c r="A23" s="59" t="s">
        <v>73</v>
      </c>
      <c r="B23" s="66">
        <f t="shared" si="0"/>
        <v>44.7</v>
      </c>
      <c r="C23" s="70">
        <v>0</v>
      </c>
      <c r="D23" s="70">
        <v>0</v>
      </c>
      <c r="E23" s="67">
        <v>10.95</v>
      </c>
      <c r="F23" s="70">
        <v>0</v>
      </c>
      <c r="G23" s="70">
        <v>0</v>
      </c>
      <c r="H23" s="67">
        <v>11.25</v>
      </c>
      <c r="I23" s="70">
        <v>0</v>
      </c>
      <c r="J23" s="70">
        <v>0</v>
      </c>
      <c r="K23" s="67">
        <v>11.25</v>
      </c>
      <c r="L23" s="70">
        <v>0</v>
      </c>
      <c r="M23" s="70">
        <v>0</v>
      </c>
      <c r="N23" s="67">
        <v>11.25</v>
      </c>
      <c r="O23" s="65">
        <v>15</v>
      </c>
      <c r="P23" s="70">
        <v>3</v>
      </c>
      <c r="Q23" s="70">
        <f t="shared" si="1"/>
        <v>45</v>
      </c>
      <c r="R23" s="72">
        <f>S23/O23</f>
        <v>95.05</v>
      </c>
      <c r="S23" s="70">
        <v>1425.75</v>
      </c>
      <c r="T23" s="73">
        <f t="shared" si="3"/>
        <v>3.1562335612835349E-2</v>
      </c>
      <c r="U23" s="70">
        <v>1353.9</v>
      </c>
      <c r="V23" s="73">
        <f t="shared" si="4"/>
        <v>3.323731442499446E-2</v>
      </c>
      <c r="W23" s="72">
        <f t="shared" si="5"/>
        <v>-71.849999999999909</v>
      </c>
      <c r="X23" s="74"/>
    </row>
    <row r="24" spans="1:24" x14ac:dyDescent="0.2">
      <c r="A24" s="59" t="s">
        <v>59</v>
      </c>
      <c r="B24" s="6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P24" s="70"/>
      <c r="Q24" s="70"/>
      <c r="R24" s="72"/>
      <c r="S24" s="70"/>
      <c r="T24" s="73"/>
      <c r="U24" s="70">
        <v>224.53</v>
      </c>
    </row>
    <row r="25" spans="1:24" s="64" customFormat="1" x14ac:dyDescent="0.2">
      <c r="A25" s="78"/>
      <c r="B25" s="79">
        <f>SUM(B3:B23)</f>
        <v>1446.9950000000001</v>
      </c>
      <c r="C25" s="79">
        <f>SUM(C3:C23)</f>
        <v>95.57</v>
      </c>
      <c r="D25" s="79">
        <f t="shared" ref="D25:N25" si="8">SUM(D3:D23)</f>
        <v>90.324999999999989</v>
      </c>
      <c r="E25" s="79">
        <f t="shared" si="8"/>
        <v>170.46999999999997</v>
      </c>
      <c r="F25" s="79">
        <f t="shared" si="8"/>
        <v>111.42999999999999</v>
      </c>
      <c r="G25" s="79">
        <f t="shared" si="8"/>
        <v>84.85</v>
      </c>
      <c r="H25" s="79">
        <f t="shared" si="8"/>
        <v>159.32</v>
      </c>
      <c r="I25" s="79">
        <f t="shared" si="8"/>
        <v>107.97</v>
      </c>
      <c r="J25" s="79">
        <f t="shared" si="8"/>
        <v>85.38</v>
      </c>
      <c r="K25" s="79">
        <f t="shared" si="8"/>
        <v>175.86999999999998</v>
      </c>
      <c r="L25" s="79">
        <f t="shared" si="8"/>
        <v>108.51</v>
      </c>
      <c r="M25" s="79">
        <f t="shared" si="8"/>
        <v>80.89</v>
      </c>
      <c r="N25" s="79">
        <f t="shared" si="8"/>
        <v>176.41</v>
      </c>
      <c r="O25" s="80"/>
      <c r="Q25" s="81">
        <f>SUM(Q3:Q23)</f>
        <v>1504.1328040000001</v>
      </c>
      <c r="R25" s="78"/>
      <c r="S25" s="81">
        <f>SUM(S3:S23)</f>
        <v>35536.230000000003</v>
      </c>
      <c r="T25" s="82">
        <f>Q25/S25</f>
        <v>4.2326741018954457E-2</v>
      </c>
      <c r="U25" s="81">
        <f>SUM(U3:U24)</f>
        <v>37637.89</v>
      </c>
      <c r="V25" s="82">
        <f>B25/U25</f>
        <v>3.8445167887997976E-2</v>
      </c>
      <c r="W25" s="78">
        <f>SUM(W3:W24)</f>
        <v>1877.1300000000003</v>
      </c>
    </row>
    <row r="26" spans="1:24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R26" s="72"/>
    </row>
    <row r="27" spans="1:24" x14ac:dyDescent="0.2">
      <c r="A27" s="83">
        <v>2015</v>
      </c>
      <c r="B27" s="70">
        <f>SUM(C27:N27)</f>
        <v>1289.1000000000001</v>
      </c>
      <c r="C27" s="70">
        <v>58.57</v>
      </c>
      <c r="D27" s="67">
        <v>95.390000000000015</v>
      </c>
      <c r="E27" s="67">
        <v>136.82</v>
      </c>
      <c r="F27" s="67">
        <v>84</v>
      </c>
      <c r="G27" s="67">
        <v>98.02000000000001</v>
      </c>
      <c r="H27" s="67">
        <v>138.42000000000002</v>
      </c>
      <c r="I27" s="67">
        <v>94.570000000000007</v>
      </c>
      <c r="J27" s="67">
        <v>101.09</v>
      </c>
      <c r="K27" s="67">
        <v>140.79</v>
      </c>
      <c r="L27" s="67">
        <v>96.110000000000014</v>
      </c>
      <c r="M27" s="67">
        <v>102.97</v>
      </c>
      <c r="N27" s="67">
        <v>142.35</v>
      </c>
      <c r="T27" s="84" t="s">
        <v>84</v>
      </c>
      <c r="U27" s="70">
        <f>7.95+48.7</f>
        <v>56.650000000000006</v>
      </c>
    </row>
    <row r="28" spans="1:24" x14ac:dyDescent="0.2">
      <c r="A28" s="83" t="s">
        <v>40</v>
      </c>
      <c r="B28" s="73">
        <f t="shared" ref="B28:N28" si="9">(B25-B27)/B27</f>
        <v>0.12248467923357378</v>
      </c>
      <c r="C28" s="73">
        <f t="shared" si="9"/>
        <v>0.63172272494451076</v>
      </c>
      <c r="D28" s="73">
        <f t="shared" si="9"/>
        <v>-5.3097808994653793E-2</v>
      </c>
      <c r="E28" s="73">
        <f t="shared" si="9"/>
        <v>0.24594357550065765</v>
      </c>
      <c r="F28" s="73">
        <f t="shared" si="9"/>
        <v>0.32654761904761898</v>
      </c>
      <c r="G28" s="73">
        <f t="shared" si="9"/>
        <v>-0.13436033462558677</v>
      </c>
      <c r="H28" s="73">
        <f t="shared" si="9"/>
        <v>0.15098974136685431</v>
      </c>
      <c r="I28" s="73">
        <f t="shared" si="9"/>
        <v>0.14169398329279889</v>
      </c>
      <c r="J28" s="73">
        <f t="shared" si="9"/>
        <v>-0.15540607379562774</v>
      </c>
      <c r="K28" s="73">
        <f t="shared" si="9"/>
        <v>0.24916542368065903</v>
      </c>
      <c r="L28" s="73">
        <f t="shared" si="9"/>
        <v>0.12901883258765987</v>
      </c>
      <c r="M28" s="73">
        <f t="shared" si="9"/>
        <v>-0.21443138778284937</v>
      </c>
      <c r="N28" s="73">
        <f t="shared" si="9"/>
        <v>0.23926940639269409</v>
      </c>
      <c r="T28" s="84" t="s">
        <v>85</v>
      </c>
      <c r="U28" s="85">
        <f>U27/U25</f>
        <v>1.5051321952426135E-3</v>
      </c>
    </row>
    <row r="29" spans="1:24" x14ac:dyDescent="0.2">
      <c r="B29" s="86"/>
    </row>
    <row r="31" spans="1:24" x14ac:dyDescent="0.2">
      <c r="A31" s="60"/>
      <c r="B31" s="89"/>
    </row>
  </sheetData>
  <pageMargins left="0.7" right="0.7" top="0.75" bottom="0.75" header="0.3" footer="0.3"/>
  <pageSetup scale="48" fitToHeight="0" orientation="landscape" r:id="rId1"/>
  <ignoredErrors>
    <ignoredError sqref="B5:B9 B10:B23 B3:B4" formulaRange="1"/>
    <ignoredError sqref="V25" formula="1"/>
    <ignoredError sqref="R20:W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Weight</vt:lpstr>
      <vt:lpstr>Mthly</vt:lpstr>
      <vt:lpstr>Qtrly</vt:lpstr>
      <vt:lpstr>Yrly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</vt:vector>
  </TitlesOfParts>
  <Company>Global Imaging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Crosson</dc:creator>
  <cp:lastModifiedBy>Dan</cp:lastModifiedBy>
  <cp:lastPrinted>2016-12-31T20:13:55Z</cp:lastPrinted>
  <dcterms:created xsi:type="dcterms:W3CDTF">2013-07-07T21:34:05Z</dcterms:created>
  <dcterms:modified xsi:type="dcterms:W3CDTF">2017-06-27T02:37:18Z</dcterms:modified>
</cp:coreProperties>
</file>